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2.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C:\Users\madron\Box\RTF\Administrative\Work Plans\2026 Work Plan\"/>
    </mc:Choice>
  </mc:AlternateContent>
  <xr:revisionPtr revIDLastSave="0" documentId="13_ncr:1_{EBF4CE11-B6E9-4910-BD3F-8536F5BB7721}" xr6:coauthVersionLast="47" xr6:coauthVersionMax="47" xr10:uidLastSave="{00000000-0000-0000-0000-000000000000}"/>
  <bookViews>
    <workbookView xWindow="-30828" yWindow="-108" windowWidth="30936" windowHeight="16776" xr2:uid="{A7D0DB46-C505-4C9C-AF62-8807AEB57AE0}"/>
  </bookViews>
  <sheets>
    <sheet name="Table of Contents" sheetId="4" r:id="rId1"/>
    <sheet name="Category History" sheetId="5" r:id="rId2"/>
    <sheet name="Business Plan (2025-2029)" sheetId="12" r:id="rId3"/>
    <sheet name="Category Detail for 2026" sheetId="14" r:id="rId4"/>
    <sheet name="Funding Shares" sheetId="7" r:id="rId5"/>
    <sheet name="Carry Over" sheetId="8" r:id="rId6"/>
    <sheet name="Funding Splits" sheetId="9" r:id="rId7"/>
    <sheet name="Work Plan Based BP" sheetId="13" r:id="rId8"/>
    <sheet name="NWPCC In Kind" sheetId="10" r:id="rId9"/>
    <sheet name="Measure and Costs Assumptions" sheetId="11" r:id="rId10"/>
    <sheet name="Typical Rates" sheetId="15" r:id="rId11"/>
  </sheets>
  <definedNames>
    <definedName name="_xlnm._FilterDatabase" localSheetId="3" hidden="1">'Category Detail for 2026'!$B$6:$L$6</definedName>
    <definedName name="_xlnm._FilterDatabase" localSheetId="9" hidden="1">'Measure and Costs Assumptions'!$A$30:$P$140</definedName>
    <definedName name="_xlnm._FilterDatabase" localSheetId="7" hidden="1">'Work Plan Based BP'!$B$6:$AZ$6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5" i="13" l="1"/>
  <c r="C15" i="13"/>
  <c r="L3" i="14"/>
  <c r="L4" i="13"/>
  <c r="M9" i="12" l="1"/>
  <c r="N9" i="12"/>
  <c r="M10" i="12"/>
  <c r="N10" i="12"/>
  <c r="N11" i="12"/>
  <c r="M13" i="12"/>
  <c r="N13" i="12"/>
  <c r="M14" i="12"/>
  <c r="N14" i="12"/>
  <c r="M15" i="12"/>
  <c r="N15" i="12"/>
  <c r="M16" i="12"/>
  <c r="N16" i="12"/>
  <c r="L17" i="12"/>
  <c r="L7" i="12"/>
  <c r="L8" i="12"/>
  <c r="K9" i="12"/>
  <c r="L9" i="12"/>
  <c r="K10" i="12"/>
  <c r="L10" i="12"/>
  <c r="K11" i="12"/>
  <c r="L11" i="12"/>
  <c r="L12" i="12"/>
  <c r="K13" i="12"/>
  <c r="L13" i="12"/>
  <c r="K14" i="12"/>
  <c r="L14" i="12"/>
  <c r="K15" i="12"/>
  <c r="L15" i="12"/>
  <c r="K16" i="12"/>
  <c r="L16" i="12"/>
  <c r="J16" i="12"/>
  <c r="J15" i="12"/>
  <c r="J14" i="12"/>
  <c r="J13" i="12"/>
  <c r="J10" i="12"/>
  <c r="J9" i="12"/>
  <c r="C42" i="13" l="1"/>
  <c r="K16" i="11"/>
  <c r="L16" i="11"/>
  <c r="M16" i="11"/>
  <c r="J16" i="11"/>
  <c r="D2" i="10"/>
  <c r="F18" i="10" s="1"/>
  <c r="C39" i="14"/>
  <c r="G22" i="9"/>
  <c r="G20" i="9"/>
  <c r="H14" i="9"/>
  <c r="H15" i="9"/>
  <c r="I15" i="9" s="1"/>
  <c r="I14" i="9"/>
  <c r="H13" i="9"/>
  <c r="I13" i="9" s="1"/>
  <c r="D13" i="9"/>
  <c r="D12" i="9" s="1"/>
  <c r="E13" i="9"/>
  <c r="E12" i="9" s="1"/>
  <c r="F13" i="9"/>
  <c r="F12" i="9" s="1"/>
  <c r="G13" i="9"/>
  <c r="G12" i="9" s="1"/>
  <c r="D14" i="9"/>
  <c r="E14" i="9"/>
  <c r="F14" i="9"/>
  <c r="G14" i="9"/>
  <c r="D15" i="9"/>
  <c r="E15" i="9"/>
  <c r="F15" i="9"/>
  <c r="G15" i="9"/>
  <c r="C14" i="9"/>
  <c r="C15" i="9"/>
  <c r="C13" i="9"/>
  <c r="H12" i="9"/>
  <c r="F30" i="14"/>
  <c r="D47" i="14"/>
  <c r="G47" i="14"/>
  <c r="D48" i="14"/>
  <c r="G48" i="14"/>
  <c r="D49" i="14"/>
  <c r="G49" i="14"/>
  <c r="D50" i="14"/>
  <c r="G50" i="14"/>
  <c r="D51" i="14"/>
  <c r="G51" i="14"/>
  <c r="D52" i="14"/>
  <c r="G52" i="14"/>
  <c r="D53" i="14"/>
  <c r="E53" i="14"/>
  <c r="G53" i="14"/>
  <c r="C48" i="14"/>
  <c r="C49" i="14"/>
  <c r="C50" i="14"/>
  <c r="C51" i="14"/>
  <c r="C52" i="14"/>
  <c r="C53" i="14"/>
  <c r="F53" i="14" s="1"/>
  <c r="C47" i="14"/>
  <c r="D44" i="14"/>
  <c r="E44" i="14"/>
  <c r="G44" i="14"/>
  <c r="D45" i="14"/>
  <c r="E45" i="14"/>
  <c r="G45" i="14"/>
  <c r="C45" i="14"/>
  <c r="F45" i="14" s="1"/>
  <c r="D41" i="14"/>
  <c r="E41" i="14"/>
  <c r="G41" i="14"/>
  <c r="G40" i="14" s="1"/>
  <c r="D42" i="14"/>
  <c r="E42" i="14"/>
  <c r="G42" i="14"/>
  <c r="C42" i="14"/>
  <c r="C41" i="14"/>
  <c r="D39" i="14"/>
  <c r="E39" i="14"/>
  <c r="G39" i="14"/>
  <c r="G38" i="14" s="1"/>
  <c r="E34" i="14"/>
  <c r="E35" i="14"/>
  <c r="D36" i="14"/>
  <c r="E36" i="14"/>
  <c r="G36" i="14"/>
  <c r="D37" i="14"/>
  <c r="E37" i="14"/>
  <c r="G37" i="14"/>
  <c r="C36" i="14"/>
  <c r="C37" i="14"/>
  <c r="C32" i="14"/>
  <c r="D29" i="14"/>
  <c r="E29" i="14"/>
  <c r="G29" i="14"/>
  <c r="D30" i="14"/>
  <c r="E30" i="14"/>
  <c r="G30" i="14"/>
  <c r="D31" i="14"/>
  <c r="E31" i="14"/>
  <c r="G31" i="14"/>
  <c r="D32" i="14"/>
  <c r="E32" i="14"/>
  <c r="G32" i="14"/>
  <c r="C30" i="14"/>
  <c r="C31" i="14"/>
  <c r="C29" i="14"/>
  <c r="C27" i="14"/>
  <c r="D25" i="14"/>
  <c r="E25" i="14"/>
  <c r="G25" i="14"/>
  <c r="G24" i="14" s="1"/>
  <c r="D26" i="14"/>
  <c r="E26" i="14"/>
  <c r="G26" i="14"/>
  <c r="D27" i="14"/>
  <c r="E27" i="14"/>
  <c r="G27" i="14"/>
  <c r="C26" i="14"/>
  <c r="F26" i="14" s="1"/>
  <c r="C25" i="14"/>
  <c r="F25" i="14" s="1"/>
  <c r="D21" i="14"/>
  <c r="E21" i="14"/>
  <c r="G21" i="14"/>
  <c r="D22" i="14"/>
  <c r="E22" i="14"/>
  <c r="G22" i="14"/>
  <c r="D23" i="14"/>
  <c r="E23" i="14"/>
  <c r="G23" i="14"/>
  <c r="C22" i="14"/>
  <c r="C23" i="14"/>
  <c r="C21" i="14"/>
  <c r="F21" i="14" s="1"/>
  <c r="E14" i="14"/>
  <c r="E15" i="14"/>
  <c r="E16" i="14"/>
  <c r="E17" i="14"/>
  <c r="E18" i="14"/>
  <c r="E19" i="14"/>
  <c r="E8" i="14"/>
  <c r="E9" i="14"/>
  <c r="E10" i="14"/>
  <c r="E11" i="14"/>
  <c r="E12" i="14"/>
  <c r="B2" i="13"/>
  <c r="D12" i="7"/>
  <c r="H12" i="7" s="1"/>
  <c r="E12" i="7"/>
  <c r="F12" i="7"/>
  <c r="G12" i="7"/>
  <c r="C12" i="7"/>
  <c r="D11" i="7"/>
  <c r="H11" i="7" s="1"/>
  <c r="E11" i="7"/>
  <c r="F11" i="7"/>
  <c r="G11" i="7"/>
  <c r="G9" i="7" s="1"/>
  <c r="C11" i="7"/>
  <c r="H10" i="7"/>
  <c r="D10" i="7"/>
  <c r="E10" i="7"/>
  <c r="F10" i="7"/>
  <c r="G10" i="7"/>
  <c r="C10" i="7"/>
  <c r="F9" i="7"/>
  <c r="C9" i="7"/>
  <c r="D75" i="7"/>
  <c r="D77" i="7" s="1"/>
  <c r="D79" i="7" s="1"/>
  <c r="E75" i="7"/>
  <c r="E77" i="7" s="1"/>
  <c r="E79" i="7" s="1"/>
  <c r="F75" i="7"/>
  <c r="F77" i="7" s="1"/>
  <c r="F79" i="7" s="1"/>
  <c r="G75" i="7"/>
  <c r="G77" i="7" s="1"/>
  <c r="G79" i="7" s="1"/>
  <c r="H75" i="7"/>
  <c r="I75" i="7"/>
  <c r="E100" i="7"/>
  <c r="E102" i="7" s="1"/>
  <c r="E104" i="7" s="1"/>
  <c r="F100" i="7"/>
  <c r="F102" i="7" s="1"/>
  <c r="F104" i="7" s="1"/>
  <c r="G100" i="7"/>
  <c r="G102" i="7" s="1"/>
  <c r="G104" i="7" s="1"/>
  <c r="H100" i="7"/>
  <c r="I100" i="7"/>
  <c r="D100" i="7"/>
  <c r="D102" i="7" s="1"/>
  <c r="D104" i="7" s="1"/>
  <c r="H101" i="7"/>
  <c r="H76" i="7" s="1"/>
  <c r="I76" i="7" s="1"/>
  <c r="D37" i="7"/>
  <c r="D39" i="7" s="1"/>
  <c r="D41" i="7" s="1"/>
  <c r="E37" i="7"/>
  <c r="E39" i="7" s="1"/>
  <c r="E41" i="7" s="1"/>
  <c r="F37" i="7"/>
  <c r="F39" i="7" s="1"/>
  <c r="F41" i="7" s="1"/>
  <c r="G37" i="7"/>
  <c r="G39" i="7" s="1"/>
  <c r="G41" i="7" s="1"/>
  <c r="H37" i="7"/>
  <c r="H39" i="7" s="1"/>
  <c r="H41" i="7" s="1"/>
  <c r="I37" i="7"/>
  <c r="I39" i="7" s="1"/>
  <c r="I41" i="7" s="1"/>
  <c r="C37" i="7"/>
  <c r="F27" i="14" l="1"/>
  <c r="F24" i="14" s="1"/>
  <c r="F32" i="14"/>
  <c r="F41" i="14"/>
  <c r="F29" i="14"/>
  <c r="F42" i="14"/>
  <c r="F37" i="14"/>
  <c r="F23" i="14"/>
  <c r="G20" i="14"/>
  <c r="F31" i="14"/>
  <c r="G28" i="14"/>
  <c r="F36" i="14"/>
  <c r="F22" i="14"/>
  <c r="F20" i="14" s="1"/>
  <c r="F39" i="14"/>
  <c r="G46" i="14"/>
  <c r="G43" i="14"/>
  <c r="C12" i="9"/>
  <c r="E9" i="7"/>
  <c r="D9" i="7"/>
  <c r="H9" i="7"/>
  <c r="I12" i="7" s="1"/>
  <c r="I10" i="7"/>
  <c r="I77" i="7"/>
  <c r="I79" i="7" s="1"/>
  <c r="H77" i="7"/>
  <c r="H79" i="7" s="1"/>
  <c r="H102" i="7"/>
  <c r="H104" i="7" s="1"/>
  <c r="I101" i="7"/>
  <c r="I102" i="7" s="1"/>
  <c r="I104" i="7" s="1"/>
  <c r="I11" i="7" l="1"/>
  <c r="O12" i="5" l="1"/>
  <c r="E21" i="10"/>
  <c r="D21" i="10"/>
  <c r="C7" i="8" l="1"/>
  <c r="D8" i="8"/>
  <c r="D7" i="8"/>
  <c r="D6" i="8"/>
  <c r="C16" i="8" l="1"/>
  <c r="C6" i="8" s="1"/>
  <c r="E7" i="8"/>
  <c r="L44" i="14"/>
  <c r="L14" i="14"/>
  <c r="C44" i="13"/>
  <c r="C44" i="14" s="1"/>
  <c r="F44" i="14" s="1"/>
  <c r="L44" i="13"/>
  <c r="E6" i="8" l="1"/>
  <c r="C8" i="8"/>
  <c r="E8" i="8" s="1"/>
  <c r="L4" i="14"/>
  <c r="D14" i="13"/>
  <c r="D14" i="14" s="1"/>
  <c r="C16" i="11"/>
  <c r="L18" i="14" l="1"/>
  <c r="E9" i="8"/>
  <c r="L14" i="13" l="1"/>
  <c r="G14" i="13"/>
  <c r="G14" i="14" s="1"/>
  <c r="C14" i="13"/>
  <c r="C14" i="14" s="1"/>
  <c r="F14" i="14" s="1"/>
  <c r="E25" i="11"/>
  <c r="E26" i="11"/>
  <c r="E24" i="11"/>
  <c r="E23" i="11"/>
  <c r="E22" i="11"/>
  <c r="E21" i="11"/>
  <c r="F25" i="11"/>
  <c r="F26" i="11"/>
  <c r="F24" i="11"/>
  <c r="F23" i="11"/>
  <c r="F22" i="11"/>
  <c r="F21" i="11"/>
  <c r="F18" i="11"/>
  <c r="F17" i="11"/>
  <c r="F16" i="11"/>
  <c r="F15" i="11"/>
  <c r="F14" i="11"/>
  <c r="F13" i="11"/>
  <c r="E18" i="11"/>
  <c r="E17" i="11"/>
  <c r="E16" i="11"/>
  <c r="E15" i="11"/>
  <c r="E14" i="11"/>
  <c r="E13" i="11"/>
  <c r="D17" i="11"/>
  <c r="D16" i="11"/>
  <c r="D15" i="11"/>
  <c r="D14" i="11"/>
  <c r="D13" i="11"/>
  <c r="C17" i="11"/>
  <c r="G18" i="13"/>
  <c r="G18" i="14" s="1"/>
  <c r="C15" i="11"/>
  <c r="C14" i="11"/>
  <c r="D16" i="13" s="1"/>
  <c r="C13" i="11"/>
  <c r="D15" i="13" s="1"/>
  <c r="D18" i="11"/>
  <c r="C18" i="11"/>
  <c r="B18" i="11"/>
  <c r="B17" i="11"/>
  <c r="B16" i="11"/>
  <c r="B15" i="11"/>
  <c r="B14" i="11"/>
  <c r="B13" i="11"/>
  <c r="B21" i="11"/>
  <c r="L34" i="13" l="1"/>
  <c r="L34" i="14"/>
  <c r="L15" i="14"/>
  <c r="G34" i="13"/>
  <c r="G34" i="14" s="1"/>
  <c r="D34" i="13"/>
  <c r="D34" i="14" s="1"/>
  <c r="G16" i="13"/>
  <c r="G16" i="14" s="1"/>
  <c r="L16" i="14"/>
  <c r="D17" i="13"/>
  <c r="D17" i="14" s="1"/>
  <c r="L17" i="14"/>
  <c r="G19" i="13"/>
  <c r="G19" i="14" s="1"/>
  <c r="L19" i="14"/>
  <c r="D18" i="13"/>
  <c r="D18" i="14" s="1"/>
  <c r="C19" i="13"/>
  <c r="C19" i="14" s="1"/>
  <c r="G15" i="13"/>
  <c r="G15" i="14" s="1"/>
  <c r="C18" i="13"/>
  <c r="C18" i="14" s="1"/>
  <c r="D16" i="14"/>
  <c r="C17" i="13"/>
  <c r="C17" i="14" s="1"/>
  <c r="D15" i="14"/>
  <c r="L18" i="13"/>
  <c r="C16" i="13"/>
  <c r="C16" i="14" s="1"/>
  <c r="L17" i="13"/>
  <c r="C15" i="14"/>
  <c r="L16" i="13"/>
  <c r="C34" i="13"/>
  <c r="C34" i="14" s="1"/>
  <c r="D19" i="13"/>
  <c r="D19" i="14" s="1"/>
  <c r="G17" i="13"/>
  <c r="G17" i="14" s="1"/>
  <c r="L19" i="13"/>
  <c r="F18" i="14" l="1"/>
  <c r="F34" i="14"/>
  <c r="F17" i="14"/>
  <c r="F15" i="14"/>
  <c r="G13" i="14"/>
  <c r="N8" i="12" s="1"/>
  <c r="F19" i="14"/>
  <c r="F16" i="14"/>
  <c r="D23" i="11"/>
  <c r="C23" i="11"/>
  <c r="B23" i="11"/>
  <c r="D22" i="11"/>
  <c r="C22" i="11"/>
  <c r="B22" i="11"/>
  <c r="D21" i="11"/>
  <c r="C21" i="11"/>
  <c r="D24" i="11"/>
  <c r="C24" i="11"/>
  <c r="B24" i="11"/>
  <c r="I53" i="13"/>
  <c r="F53" i="13"/>
  <c r="I52" i="13"/>
  <c r="E52" i="13"/>
  <c r="I51" i="13"/>
  <c r="E51" i="13"/>
  <c r="I50" i="13"/>
  <c r="E50" i="13"/>
  <c r="I49" i="13"/>
  <c r="E49" i="13"/>
  <c r="I48" i="13"/>
  <c r="E48" i="13"/>
  <c r="I47" i="13"/>
  <c r="E47" i="13"/>
  <c r="E47" i="14" s="1"/>
  <c r="F47" i="14" s="1"/>
  <c r="G46" i="13"/>
  <c r="D46" i="13"/>
  <c r="I45" i="13"/>
  <c r="F45" i="13"/>
  <c r="I44" i="13"/>
  <c r="C43" i="13"/>
  <c r="G43" i="13"/>
  <c r="E43" i="13"/>
  <c r="D43" i="13"/>
  <c r="I42" i="13"/>
  <c r="F42" i="13"/>
  <c r="I41" i="13"/>
  <c r="F41" i="13"/>
  <c r="G40" i="13"/>
  <c r="E40" i="13"/>
  <c r="D40" i="13"/>
  <c r="I39" i="13"/>
  <c r="F39" i="13"/>
  <c r="I38" i="13"/>
  <c r="G38" i="13"/>
  <c r="E38" i="13"/>
  <c r="D38" i="13"/>
  <c r="C38" i="13"/>
  <c r="I37" i="13"/>
  <c r="F37" i="13"/>
  <c r="F36" i="13"/>
  <c r="I35" i="13"/>
  <c r="I34" i="13"/>
  <c r="E33" i="13"/>
  <c r="I32" i="13"/>
  <c r="F32" i="13"/>
  <c r="I31" i="13"/>
  <c r="F31" i="13"/>
  <c r="I30" i="13"/>
  <c r="F30" i="13"/>
  <c r="I29" i="13"/>
  <c r="F29" i="13"/>
  <c r="G28" i="13"/>
  <c r="E28" i="13"/>
  <c r="D28" i="13"/>
  <c r="C28" i="13"/>
  <c r="I27" i="13"/>
  <c r="F27" i="13"/>
  <c r="I26" i="13"/>
  <c r="F26" i="13"/>
  <c r="I25" i="13"/>
  <c r="F25" i="13"/>
  <c r="G24" i="13"/>
  <c r="E24" i="13"/>
  <c r="D24" i="13"/>
  <c r="C24" i="13"/>
  <c r="I23" i="13"/>
  <c r="F23" i="13"/>
  <c r="I22" i="13"/>
  <c r="F22" i="13"/>
  <c r="I21" i="13"/>
  <c r="F21" i="13"/>
  <c r="G20" i="13"/>
  <c r="E20" i="13"/>
  <c r="D20" i="13"/>
  <c r="C20" i="13"/>
  <c r="I19" i="13"/>
  <c r="I18" i="13"/>
  <c r="I17" i="13"/>
  <c r="I16" i="13"/>
  <c r="I15" i="13"/>
  <c r="I14" i="13"/>
  <c r="E13" i="13"/>
  <c r="I12" i="13"/>
  <c r="I11" i="13"/>
  <c r="I10" i="13"/>
  <c r="I9" i="13"/>
  <c r="I8" i="13"/>
  <c r="E7" i="13"/>
  <c r="E28" i="14"/>
  <c r="D28" i="14"/>
  <c r="C28" i="14"/>
  <c r="J11" i="12" s="1"/>
  <c r="F92" i="12"/>
  <c r="F93" i="12"/>
  <c r="F94" i="12"/>
  <c r="F95" i="12"/>
  <c r="F91" i="12"/>
  <c r="F13" i="14" l="1"/>
  <c r="M8" i="12" s="1"/>
  <c r="F50" i="13"/>
  <c r="E50" i="14"/>
  <c r="F50" i="14" s="1"/>
  <c r="F49" i="13"/>
  <c r="E49" i="14"/>
  <c r="F49" i="14" s="1"/>
  <c r="F51" i="13"/>
  <c r="E51" i="14"/>
  <c r="F51" i="14" s="1"/>
  <c r="F48" i="13"/>
  <c r="E48" i="14"/>
  <c r="F48" i="14" s="1"/>
  <c r="F52" i="13"/>
  <c r="E52" i="14"/>
  <c r="F52" i="14" s="1"/>
  <c r="L8" i="14"/>
  <c r="L11" i="14"/>
  <c r="L9" i="14"/>
  <c r="L10" i="14"/>
  <c r="C8" i="13"/>
  <c r="C8" i="14" s="1"/>
  <c r="G8" i="13"/>
  <c r="G8" i="14" s="1"/>
  <c r="L8" i="13"/>
  <c r="D8" i="13"/>
  <c r="D8" i="14" s="1"/>
  <c r="C9" i="13"/>
  <c r="C9" i="14" s="1"/>
  <c r="L9" i="13"/>
  <c r="D9" i="13"/>
  <c r="D9" i="14" s="1"/>
  <c r="G9" i="13"/>
  <c r="G9" i="14" s="1"/>
  <c r="C11" i="13"/>
  <c r="C11" i="14" s="1"/>
  <c r="L11" i="13"/>
  <c r="D11" i="13"/>
  <c r="D11" i="14" s="1"/>
  <c r="G11" i="13"/>
  <c r="G11" i="14" s="1"/>
  <c r="C10" i="13"/>
  <c r="C10" i="14" s="1"/>
  <c r="L10" i="13"/>
  <c r="D10" i="13"/>
  <c r="D10" i="14" s="1"/>
  <c r="G10" i="13"/>
  <c r="G10" i="14" s="1"/>
  <c r="F38" i="13"/>
  <c r="F24" i="13"/>
  <c r="F20" i="13"/>
  <c r="F28" i="13"/>
  <c r="E46" i="13"/>
  <c r="E54" i="13" s="1"/>
  <c r="F47" i="13"/>
  <c r="F40" i="13"/>
  <c r="F19" i="13"/>
  <c r="F17" i="13"/>
  <c r="F16" i="13"/>
  <c r="F15" i="13"/>
  <c r="G13" i="13"/>
  <c r="F44" i="13"/>
  <c r="F43" i="13" s="1"/>
  <c r="D13" i="13"/>
  <c r="F18" i="13"/>
  <c r="C40" i="13"/>
  <c r="F14" i="13"/>
  <c r="F34" i="13"/>
  <c r="C13" i="13"/>
  <c r="C46" i="13"/>
  <c r="E7" i="14"/>
  <c r="I12" i="14"/>
  <c r="F61" i="12"/>
  <c r="G61" i="12"/>
  <c r="G60" i="12"/>
  <c r="F60" i="12"/>
  <c r="G59" i="12"/>
  <c r="F59" i="12"/>
  <c r="G58" i="12"/>
  <c r="F58" i="12"/>
  <c r="E61" i="12"/>
  <c r="E60" i="12"/>
  <c r="E59" i="12"/>
  <c r="D61" i="12"/>
  <c r="D60" i="12"/>
  <c r="D59" i="12"/>
  <c r="C61" i="12"/>
  <c r="C60" i="12"/>
  <c r="C59" i="12"/>
  <c r="G53" i="12"/>
  <c r="F53" i="12"/>
  <c r="E53" i="12"/>
  <c r="D53" i="12"/>
  <c r="G52" i="12"/>
  <c r="F52" i="12"/>
  <c r="E52" i="12"/>
  <c r="D52" i="12"/>
  <c r="G51" i="12"/>
  <c r="F51" i="12"/>
  <c r="E51" i="12"/>
  <c r="D51" i="12"/>
  <c r="G50" i="12"/>
  <c r="F50" i="12"/>
  <c r="C53" i="12"/>
  <c r="C52" i="12"/>
  <c r="C51" i="12"/>
  <c r="AI18" i="12"/>
  <c r="AB18" i="12"/>
  <c r="U18" i="12"/>
  <c r="N18" i="12"/>
  <c r="F11" i="14" l="1"/>
  <c r="F8" i="14"/>
  <c r="F46" i="13"/>
  <c r="F10" i="14"/>
  <c r="F9" i="14"/>
  <c r="F9" i="13"/>
  <c r="F8" i="13"/>
  <c r="F11" i="13"/>
  <c r="F13" i="13"/>
  <c r="J16" i="15"/>
  <c r="J17" i="15"/>
  <c r="J18" i="15"/>
  <c r="J15" i="15"/>
  <c r="I15" i="15"/>
  <c r="A2" i="15"/>
  <c r="E22" i="15"/>
  <c r="E37" i="15" s="1"/>
  <c r="I18" i="15"/>
  <c r="H18" i="15"/>
  <c r="G18" i="15"/>
  <c r="E18" i="15"/>
  <c r="D18" i="15"/>
  <c r="C18" i="15"/>
  <c r="I17" i="15"/>
  <c r="H17" i="15"/>
  <c r="G17" i="15"/>
  <c r="E17" i="15"/>
  <c r="D17" i="15"/>
  <c r="C17" i="15"/>
  <c r="I16" i="15"/>
  <c r="H16" i="15"/>
  <c r="G16" i="15"/>
  <c r="E16" i="15"/>
  <c r="D16" i="15"/>
  <c r="C16" i="15"/>
  <c r="H15" i="15"/>
  <c r="G15" i="15"/>
  <c r="E15" i="15"/>
  <c r="D15" i="15"/>
  <c r="C15" i="15"/>
  <c r="E9" i="15"/>
  <c r="K9" i="15" s="1"/>
  <c r="M9" i="15" s="1"/>
  <c r="D9" i="15"/>
  <c r="C9" i="15" s="1"/>
  <c r="B9" i="15" s="1"/>
  <c r="K12" i="15"/>
  <c r="M12" i="15" s="1"/>
  <c r="E12" i="15"/>
  <c r="H12" i="15" s="1"/>
  <c r="I12" i="15" s="1"/>
  <c r="E11" i="15"/>
  <c r="H11" i="15" s="1"/>
  <c r="I11" i="15" s="1"/>
  <c r="E10" i="15"/>
  <c r="K10" i="15" s="1"/>
  <c r="K8" i="15"/>
  <c r="L8" i="15" s="1"/>
  <c r="E8" i="15"/>
  <c r="H8" i="15" s="1"/>
  <c r="I8" i="15" s="1"/>
  <c r="D8" i="15"/>
  <c r="C8" i="15" s="1"/>
  <c r="B8" i="15" s="1"/>
  <c r="E7" i="15"/>
  <c r="H7" i="15" s="1"/>
  <c r="I7" i="15" s="1"/>
  <c r="D7" i="15"/>
  <c r="C7" i="15" s="1"/>
  <c r="B7" i="15" s="1"/>
  <c r="E6" i="15"/>
  <c r="K6" i="15" s="1"/>
  <c r="D6" i="15"/>
  <c r="C6" i="15" s="1"/>
  <c r="B6" i="15" s="1"/>
  <c r="E5" i="15"/>
  <c r="D5" i="15" s="1"/>
  <c r="C5" i="15" s="1"/>
  <c r="B5" i="15" s="1"/>
  <c r="K7" i="15" l="1"/>
  <c r="M7" i="15" s="1"/>
  <c r="M8" i="15"/>
  <c r="E23" i="15"/>
  <c r="C23" i="15" s="1"/>
  <c r="D23" i="15" s="1"/>
  <c r="F23" i="15" s="1"/>
  <c r="H10" i="15"/>
  <c r="I10" i="15" s="1"/>
  <c r="E25" i="15"/>
  <c r="C25" i="15" s="1"/>
  <c r="D25" i="15" s="1"/>
  <c r="F25" i="15" s="1"/>
  <c r="H9" i="15"/>
  <c r="I9" i="15" s="1"/>
  <c r="K11" i="15"/>
  <c r="M11" i="15" s="1"/>
  <c r="E27" i="15"/>
  <c r="C27" i="15" s="1"/>
  <c r="D27" i="15" s="1"/>
  <c r="F27" i="15" s="1"/>
  <c r="D12" i="15"/>
  <c r="C12" i="15" s="1"/>
  <c r="B12" i="15" s="1"/>
  <c r="C22" i="15"/>
  <c r="D22" i="15" s="1"/>
  <c r="E36" i="15"/>
  <c r="F22" i="15"/>
  <c r="M10" i="15"/>
  <c r="L10" i="15"/>
  <c r="M6" i="15"/>
  <c r="L6" i="15"/>
  <c r="H5" i="15"/>
  <c r="I5" i="15" s="1"/>
  <c r="H6" i="15"/>
  <c r="I6" i="15" s="1"/>
  <c r="L12" i="15"/>
  <c r="K5" i="15"/>
  <c r="D10" i="15"/>
  <c r="C10" i="15" s="1"/>
  <c r="B10" i="15" s="1"/>
  <c r="L9" i="15"/>
  <c r="E29" i="15"/>
  <c r="C29" i="15" s="1"/>
  <c r="D29" i="15" s="1"/>
  <c r="F29" i="15" s="1"/>
  <c r="E31" i="15"/>
  <c r="C31" i="15" s="1"/>
  <c r="D31" i="15" s="1"/>
  <c r="F31" i="15" s="1"/>
  <c r="D11" i="15"/>
  <c r="C11" i="15" s="1"/>
  <c r="B11" i="15" s="1"/>
  <c r="E35" i="15"/>
  <c r="L7" i="15"/>
  <c r="E24" i="15"/>
  <c r="C24" i="15" s="1"/>
  <c r="D24" i="15" s="1"/>
  <c r="F24" i="15" s="1"/>
  <c r="E26" i="15"/>
  <c r="C26" i="15" s="1"/>
  <c r="D26" i="15" s="1"/>
  <c r="F26" i="15" s="1"/>
  <c r="E28" i="15"/>
  <c r="C28" i="15" s="1"/>
  <c r="D28" i="15" s="1"/>
  <c r="F28" i="15" s="1"/>
  <c r="E30" i="15"/>
  <c r="C30" i="15" s="1"/>
  <c r="D30" i="15" s="1"/>
  <c r="F30" i="15" s="1"/>
  <c r="L11" i="15" l="1"/>
  <c r="M5" i="15"/>
  <c r="L5" i="15"/>
  <c r="I53" i="14" l="1"/>
  <c r="I52" i="14"/>
  <c r="I51" i="14"/>
  <c r="I50" i="14"/>
  <c r="I49" i="14"/>
  <c r="I48" i="14"/>
  <c r="I47" i="14"/>
  <c r="D46" i="14"/>
  <c r="I42" i="14"/>
  <c r="I41" i="14"/>
  <c r="E40" i="14"/>
  <c r="D40" i="14"/>
  <c r="I45" i="14"/>
  <c r="I44" i="14"/>
  <c r="E43" i="14"/>
  <c r="D43" i="14"/>
  <c r="I39" i="14"/>
  <c r="I38" i="14"/>
  <c r="E38" i="14"/>
  <c r="D38" i="14"/>
  <c r="C38" i="14"/>
  <c r="I37" i="14"/>
  <c r="I35" i="14"/>
  <c r="I34" i="14"/>
  <c r="E33" i="14"/>
  <c r="I32" i="14"/>
  <c r="I31" i="14"/>
  <c r="I30" i="14"/>
  <c r="I29" i="14"/>
  <c r="I27" i="14"/>
  <c r="I26" i="14"/>
  <c r="I25" i="14"/>
  <c r="E24" i="14"/>
  <c r="D24" i="14"/>
  <c r="C24" i="14"/>
  <c r="I23" i="14"/>
  <c r="I22" i="14"/>
  <c r="I21" i="14"/>
  <c r="E20" i="14"/>
  <c r="D20" i="14"/>
  <c r="C20" i="14"/>
  <c r="I19" i="14"/>
  <c r="I18" i="14"/>
  <c r="I17" i="14"/>
  <c r="I16" i="14"/>
  <c r="I15" i="14"/>
  <c r="I14" i="14"/>
  <c r="E13" i="14"/>
  <c r="I11" i="14"/>
  <c r="I10" i="14"/>
  <c r="I9" i="14"/>
  <c r="I8" i="14"/>
  <c r="E6" i="5"/>
  <c r="B2" i="14"/>
  <c r="B2" i="10"/>
  <c r="E17" i="10"/>
  <c r="D17" i="10"/>
  <c r="F16" i="10"/>
  <c r="F15" i="10"/>
  <c r="F14" i="10"/>
  <c r="F13" i="10"/>
  <c r="F12" i="10"/>
  <c r="F11" i="10"/>
  <c r="F10" i="10"/>
  <c r="F9" i="10"/>
  <c r="F8" i="10"/>
  <c r="F7" i="10"/>
  <c r="E4" i="10"/>
  <c r="G18" i="12" s="1"/>
  <c r="F17" i="10" l="1"/>
  <c r="F28" i="14"/>
  <c r="M11" i="12" s="1"/>
  <c r="G15" i="5"/>
  <c r="G9" i="5"/>
  <c r="E10" i="5"/>
  <c r="D8" i="5"/>
  <c r="E7" i="5"/>
  <c r="E8" i="5"/>
  <c r="C9" i="5"/>
  <c r="D12" i="5"/>
  <c r="D13" i="5"/>
  <c r="E14" i="5"/>
  <c r="G8" i="5"/>
  <c r="E13" i="5"/>
  <c r="G12" i="5"/>
  <c r="G13" i="5"/>
  <c r="G10" i="5"/>
  <c r="C12" i="5"/>
  <c r="D14" i="5"/>
  <c r="D9" i="5"/>
  <c r="E12" i="5"/>
  <c r="G14" i="5"/>
  <c r="E9" i="5"/>
  <c r="C8" i="5"/>
  <c r="E11" i="5"/>
  <c r="D15" i="5"/>
  <c r="D10" i="5"/>
  <c r="C10" i="5"/>
  <c r="F38" i="14"/>
  <c r="C46" i="14"/>
  <c r="C40" i="14"/>
  <c r="F40" i="14"/>
  <c r="E46" i="14"/>
  <c r="D13" i="14"/>
  <c r="K8" i="12" s="1"/>
  <c r="C13" i="14"/>
  <c r="J8" i="12" s="1"/>
  <c r="D50" i="12" l="1"/>
  <c r="D58" i="12"/>
  <c r="F46" i="14"/>
  <c r="F15" i="5" s="1"/>
  <c r="F14" i="5"/>
  <c r="C7" i="5"/>
  <c r="G7" i="5"/>
  <c r="D7" i="5"/>
  <c r="C14" i="5"/>
  <c r="F8" i="5"/>
  <c r="F12" i="5"/>
  <c r="F9" i="5"/>
  <c r="C15" i="5"/>
  <c r="F10" i="5"/>
  <c r="E54" i="14"/>
  <c r="E15" i="5"/>
  <c r="F7" i="5" l="1"/>
  <c r="F57" i="12"/>
  <c r="F49" i="12"/>
  <c r="D57" i="12"/>
  <c r="D49" i="12"/>
  <c r="B2" i="12" l="1"/>
  <c r="A2" i="11"/>
  <c r="D25" i="11"/>
  <c r="C25" i="11"/>
  <c r="B25" i="11"/>
  <c r="D26" i="11"/>
  <c r="C26" i="11"/>
  <c r="L35" i="14" s="1"/>
  <c r="B26" i="11"/>
  <c r="L8" i="11"/>
  <c r="K8" i="11"/>
  <c r="J8" i="11"/>
  <c r="I8" i="11"/>
  <c r="H8" i="11"/>
  <c r="L6" i="11"/>
  <c r="K6" i="11"/>
  <c r="J6" i="11"/>
  <c r="I6" i="11"/>
  <c r="H6" i="11"/>
  <c r="L5" i="11"/>
  <c r="K5" i="11"/>
  <c r="J5" i="11"/>
  <c r="I5" i="11"/>
  <c r="H5" i="11"/>
  <c r="E29" i="9"/>
  <c r="D23" i="9"/>
  <c r="D28" i="9" s="1"/>
  <c r="E23" i="9"/>
  <c r="E30" i="9" s="1"/>
  <c r="F23" i="9"/>
  <c r="F29" i="9" s="1"/>
  <c r="G23" i="9"/>
  <c r="G29" i="9" s="1"/>
  <c r="C23" i="9"/>
  <c r="C28" i="9" s="1"/>
  <c r="H21" i="9"/>
  <c r="I21" i="9" s="1"/>
  <c r="H22" i="9"/>
  <c r="I22" i="9" s="1"/>
  <c r="H20" i="9"/>
  <c r="I20" i="9" s="1"/>
  <c r="I8" i="9"/>
  <c r="I7" i="9"/>
  <c r="I6" i="9"/>
  <c r="B2" i="9"/>
  <c r="B2" i="8"/>
  <c r="C87" i="7"/>
  <c r="C86" i="7"/>
  <c r="C75" i="7"/>
  <c r="C53" i="7"/>
  <c r="G28" i="9" l="1"/>
  <c r="F28" i="9"/>
  <c r="E28" i="9"/>
  <c r="C29" i="9"/>
  <c r="C30" i="9"/>
  <c r="C31" i="9" s="1"/>
  <c r="G30" i="9"/>
  <c r="G31" i="9" s="1"/>
  <c r="F30" i="9"/>
  <c r="F31" i="9" s="1"/>
  <c r="E31" i="9"/>
  <c r="D30" i="9"/>
  <c r="D29" i="9"/>
  <c r="D31" i="9" s="1"/>
  <c r="H23" i="9"/>
  <c r="C100" i="7"/>
  <c r="G35" i="13"/>
  <c r="L12" i="14"/>
  <c r="C35" i="13"/>
  <c r="C35" i="14" s="1"/>
  <c r="L35" i="13"/>
  <c r="D35" i="13"/>
  <c r="L12" i="13"/>
  <c r="G12" i="13"/>
  <c r="G12" i="14" s="1"/>
  <c r="G7" i="14" s="1"/>
  <c r="N7" i="12" s="1"/>
  <c r="C12" i="13"/>
  <c r="C12" i="14" s="1"/>
  <c r="D12" i="13"/>
  <c r="D12" i="14" s="1"/>
  <c r="E28" i="11"/>
  <c r="B28" i="11"/>
  <c r="F28" i="11"/>
  <c r="C28" i="11"/>
  <c r="D28" i="11"/>
  <c r="G25" i="12"/>
  <c r="E24" i="12"/>
  <c r="G24" i="12"/>
  <c r="E26" i="12"/>
  <c r="E23" i="12"/>
  <c r="C25" i="12"/>
  <c r="G26" i="12"/>
  <c r="E25" i="12"/>
  <c r="E22" i="12"/>
  <c r="AC11" i="12"/>
  <c r="AC7" i="12"/>
  <c r="C24" i="12"/>
  <c r="C26" i="12"/>
  <c r="F12" i="14" l="1"/>
  <c r="F7" i="14" s="1"/>
  <c r="G33" i="13"/>
  <c r="G35" i="14"/>
  <c r="G33" i="14" s="1"/>
  <c r="D33" i="13"/>
  <c r="D35" i="14"/>
  <c r="D33" i="14" s="1"/>
  <c r="G7" i="13"/>
  <c r="F10" i="13"/>
  <c r="D7" i="13"/>
  <c r="C7" i="13"/>
  <c r="F12" i="13"/>
  <c r="F35" i="13"/>
  <c r="F33" i="13" s="1"/>
  <c r="C33" i="13"/>
  <c r="D26" i="12"/>
  <c r="AF18" i="12"/>
  <c r="AJ12" i="12"/>
  <c r="F26" i="12"/>
  <c r="AC8" i="12"/>
  <c r="F25" i="12"/>
  <c r="K26" i="12" s="1"/>
  <c r="D25" i="12"/>
  <c r="Y18" i="12"/>
  <c r="AC9" i="12"/>
  <c r="AC13" i="12"/>
  <c r="AC12" i="12"/>
  <c r="AC10" i="12"/>
  <c r="AC17" i="12" s="1"/>
  <c r="AC15" i="12"/>
  <c r="AC16" i="12"/>
  <c r="AC14" i="12"/>
  <c r="V11" i="12"/>
  <c r="F24" i="12"/>
  <c r="K25" i="12" s="1"/>
  <c r="R18" i="12"/>
  <c r="D24" i="12"/>
  <c r="D7" i="14"/>
  <c r="K7" i="12" s="1"/>
  <c r="G22" i="12"/>
  <c r="C7" i="14"/>
  <c r="J7" i="12" s="1"/>
  <c r="F43" i="14"/>
  <c r="C43" i="14"/>
  <c r="C33" i="14"/>
  <c r="J12" i="12" s="1"/>
  <c r="AJ13" i="12"/>
  <c r="AJ9" i="12"/>
  <c r="V15" i="12"/>
  <c r="V7" i="12"/>
  <c r="V14" i="12"/>
  <c r="AJ15" i="12"/>
  <c r="AJ11" i="12"/>
  <c r="AJ7" i="12"/>
  <c r="AJ16" i="12"/>
  <c r="AJ14" i="12"/>
  <c r="AJ10" i="12"/>
  <c r="V13" i="12"/>
  <c r="V9" i="12"/>
  <c r="V10" i="12"/>
  <c r="V16" i="12"/>
  <c r="V12" i="12"/>
  <c r="V8" i="12"/>
  <c r="AJ8" i="12"/>
  <c r="F6" i="5" l="1"/>
  <c r="M7" i="12"/>
  <c r="D11" i="5"/>
  <c r="K12" i="12"/>
  <c r="K17" i="12" s="1"/>
  <c r="G54" i="14"/>
  <c r="N12" i="12"/>
  <c r="N17" i="12" s="1"/>
  <c r="G23" i="12" s="1"/>
  <c r="J17" i="12"/>
  <c r="C23" i="12" s="1"/>
  <c r="G11" i="5"/>
  <c r="G54" i="13"/>
  <c r="D54" i="13"/>
  <c r="F35" i="14"/>
  <c r="F33" i="14" s="1"/>
  <c r="C54" i="13"/>
  <c r="F7" i="13"/>
  <c r="F54" i="13" s="1"/>
  <c r="L5" i="13" s="1"/>
  <c r="C13" i="5"/>
  <c r="F13" i="5"/>
  <c r="C11" i="5"/>
  <c r="D54" i="14"/>
  <c r="C6" i="5"/>
  <c r="D6" i="5"/>
  <c r="G6" i="5"/>
  <c r="C54" i="14"/>
  <c r="AJ17" i="12"/>
  <c r="V17" i="12"/>
  <c r="K18" i="12" l="1"/>
  <c r="D23" i="12"/>
  <c r="F11" i="5"/>
  <c r="M12" i="12"/>
  <c r="M17" i="12" s="1"/>
  <c r="O7" i="12" s="1"/>
  <c r="C58" i="12"/>
  <c r="C50" i="12"/>
  <c r="F54" i="14"/>
  <c r="E49" i="12"/>
  <c r="E57" i="12"/>
  <c r="C22" i="12"/>
  <c r="G49" i="12"/>
  <c r="G57" i="12"/>
  <c r="D22" i="12"/>
  <c r="D18" i="12"/>
  <c r="C49" i="12"/>
  <c r="C57" i="12"/>
  <c r="B2" i="7"/>
  <c r="B2" i="5"/>
  <c r="E58" i="12" l="1"/>
  <c r="E50" i="12"/>
  <c r="O12" i="12"/>
  <c r="L5" i="14"/>
  <c r="O16" i="12"/>
  <c r="O14" i="12"/>
  <c r="F23" i="12"/>
  <c r="O8" i="12"/>
  <c r="O9" i="12"/>
  <c r="O13" i="12"/>
  <c r="O15" i="12"/>
  <c r="O10" i="12"/>
  <c r="O11" i="12"/>
  <c r="H7" i="13"/>
  <c r="H43" i="13"/>
  <c r="H13" i="13"/>
  <c r="H24" i="13"/>
  <c r="H40" i="13"/>
  <c r="H28" i="13"/>
  <c r="H38" i="13"/>
  <c r="H46" i="13"/>
  <c r="H20" i="13"/>
  <c r="H33" i="13"/>
  <c r="H33" i="14"/>
  <c r="H28" i="14"/>
  <c r="H8" i="12"/>
  <c r="H12" i="12"/>
  <c r="H15" i="12"/>
  <c r="H11" i="12"/>
  <c r="H16" i="12"/>
  <c r="H9" i="12"/>
  <c r="H13" i="12"/>
  <c r="H14" i="12"/>
  <c r="H10" i="12"/>
  <c r="F22" i="12"/>
  <c r="H7" i="12"/>
  <c r="H7" i="14"/>
  <c r="H13" i="14"/>
  <c r="H38" i="14"/>
  <c r="H46" i="14"/>
  <c r="H40" i="14"/>
  <c r="H43" i="14"/>
  <c r="H24" i="14"/>
  <c r="H20" i="14"/>
  <c r="AF5" i="13"/>
  <c r="V5" i="13"/>
  <c r="N21" i="5"/>
  <c r="N22" i="5"/>
  <c r="N23" i="5"/>
  <c r="N24" i="5"/>
  <c r="N25" i="5"/>
  <c r="N26" i="5"/>
  <c r="N27" i="5"/>
  <c r="N28" i="5"/>
  <c r="N29" i="5"/>
  <c r="Q19" i="5"/>
  <c r="P19" i="5"/>
  <c r="O19" i="5"/>
  <c r="N20" i="5"/>
  <c r="B80" i="5"/>
  <c r="C80" i="5"/>
  <c r="D80" i="5"/>
  <c r="E80" i="5"/>
  <c r="B81" i="5"/>
  <c r="D81" i="5"/>
  <c r="E81" i="5"/>
  <c r="B82" i="5"/>
  <c r="C82" i="5"/>
  <c r="D82" i="5"/>
  <c r="E82" i="5"/>
  <c r="B83" i="5"/>
  <c r="D83" i="5"/>
  <c r="E83" i="5"/>
  <c r="B84" i="5"/>
  <c r="C84" i="5"/>
  <c r="D84" i="5"/>
  <c r="E84" i="5"/>
  <c r="B85" i="5"/>
  <c r="B86" i="5"/>
  <c r="D86" i="5"/>
  <c r="E86" i="5"/>
  <c r="B87" i="5"/>
  <c r="D87" i="5"/>
  <c r="E87" i="5"/>
  <c r="B88" i="5"/>
  <c r="C88" i="5"/>
  <c r="D88" i="5"/>
  <c r="E88" i="5"/>
  <c r="E79" i="5"/>
  <c r="E78" i="5"/>
  <c r="D79" i="5"/>
  <c r="D78" i="5"/>
  <c r="B79" i="5"/>
  <c r="C78" i="5"/>
  <c r="D51" i="5"/>
  <c r="E51" i="5"/>
  <c r="D52" i="5"/>
  <c r="E52" i="5"/>
  <c r="D53" i="5"/>
  <c r="E53" i="5"/>
  <c r="D54" i="5"/>
  <c r="E54" i="5"/>
  <c r="D55" i="5"/>
  <c r="E55" i="5"/>
  <c r="D57" i="5"/>
  <c r="E57" i="5"/>
  <c r="D58" i="5"/>
  <c r="E58" i="5"/>
  <c r="D59" i="5"/>
  <c r="E59" i="5"/>
  <c r="E50" i="5"/>
  <c r="E49" i="5"/>
  <c r="D50" i="5"/>
  <c r="D49" i="5"/>
  <c r="C55" i="5"/>
  <c r="C49" i="5"/>
  <c r="B51" i="5"/>
  <c r="B52" i="5"/>
  <c r="B53" i="5"/>
  <c r="B54" i="5"/>
  <c r="B55" i="5"/>
  <c r="B56" i="5"/>
  <c r="B57" i="5"/>
  <c r="B58" i="5"/>
  <c r="B59" i="5"/>
  <c r="B50" i="5"/>
  <c r="D22" i="5"/>
  <c r="E22" i="5"/>
  <c r="D23" i="5"/>
  <c r="E23" i="5"/>
  <c r="D24" i="5"/>
  <c r="E24" i="5"/>
  <c r="D25" i="5"/>
  <c r="E25" i="5"/>
  <c r="D26" i="5"/>
  <c r="E26" i="5"/>
  <c r="D28" i="5"/>
  <c r="E28" i="5"/>
  <c r="D29" i="5"/>
  <c r="E29" i="5"/>
  <c r="D30" i="5"/>
  <c r="E30" i="5"/>
  <c r="E21" i="5"/>
  <c r="D21" i="5"/>
  <c r="E20" i="5"/>
  <c r="D20" i="5"/>
  <c r="B27" i="5"/>
  <c r="B22" i="5"/>
  <c r="B23" i="5"/>
  <c r="B24" i="5"/>
  <c r="B25" i="5"/>
  <c r="B26" i="5"/>
  <c r="B28" i="5"/>
  <c r="B29" i="5"/>
  <c r="B30" i="5"/>
  <c r="B21" i="5"/>
  <c r="C20" i="5"/>
  <c r="V13" i="5"/>
  <c r="Q27" i="5" s="1"/>
  <c r="O9" i="5"/>
  <c r="P23" i="5" s="1"/>
  <c r="C30" i="5"/>
  <c r="C59" i="5"/>
  <c r="C87" i="5"/>
  <c r="C58" i="5"/>
  <c r="C28" i="5"/>
  <c r="C86" i="5"/>
  <c r="C57" i="5"/>
  <c r="C27" i="5"/>
  <c r="C85" i="5"/>
  <c r="C56" i="5"/>
  <c r="C25" i="5"/>
  <c r="C83" i="5"/>
  <c r="C54" i="5"/>
  <c r="C53" i="5"/>
  <c r="C81" i="5"/>
  <c r="C52" i="5"/>
  <c r="C22" i="5"/>
  <c r="C51" i="5"/>
  <c r="C21" i="5"/>
  <c r="C79" i="5"/>
  <c r="C50" i="5"/>
  <c r="O17" i="12" l="1"/>
  <c r="C62" i="12"/>
  <c r="K24" i="12"/>
  <c r="H54" i="13"/>
  <c r="C54" i="12"/>
  <c r="D27" i="12"/>
  <c r="H17" i="12"/>
  <c r="D96" i="12"/>
  <c r="G27" i="12"/>
  <c r="L24" i="12"/>
  <c r="F54" i="12"/>
  <c r="G54" i="12"/>
  <c r="L23" i="12"/>
  <c r="E62" i="12"/>
  <c r="E96" i="12"/>
  <c r="C96" i="12"/>
  <c r="F27" i="12"/>
  <c r="G62" i="12"/>
  <c r="D62" i="12"/>
  <c r="K23" i="12"/>
  <c r="F62" i="12"/>
  <c r="L26" i="12"/>
  <c r="L25" i="12"/>
  <c r="D54" i="12"/>
  <c r="E27" i="12"/>
  <c r="E54" i="12"/>
  <c r="C27" i="12"/>
  <c r="H54" i="14"/>
  <c r="C29" i="5"/>
  <c r="O14" i="5"/>
  <c r="P28" i="5" s="1"/>
  <c r="O7" i="5"/>
  <c r="P21" i="5" s="1"/>
  <c r="C26" i="5"/>
  <c r="C24" i="5"/>
  <c r="C23" i="5"/>
  <c r="C16" i="5"/>
  <c r="D16" i="5"/>
  <c r="E16" i="5"/>
  <c r="O10" i="5"/>
  <c r="P24" i="5" s="1"/>
  <c r="G16" i="5"/>
  <c r="V9" i="5"/>
  <c r="Q23" i="5" s="1"/>
  <c r="V14" i="5"/>
  <c r="Q28" i="5" s="1"/>
  <c r="V10" i="5"/>
  <c r="Q24" i="5" s="1"/>
  <c r="O8" i="5"/>
  <c r="P22" i="5" s="1"/>
  <c r="O15" i="5"/>
  <c r="P29" i="5" s="1"/>
  <c r="F16" i="5"/>
  <c r="V8" i="5"/>
  <c r="Q22" i="5" s="1"/>
  <c r="O11" i="5"/>
  <c r="P25" i="5" s="1"/>
  <c r="V15" i="5"/>
  <c r="Q29" i="5" s="1"/>
  <c r="V7" i="5"/>
  <c r="Q21" i="5" s="1"/>
  <c r="O6" i="5"/>
  <c r="P20" i="5" s="1"/>
  <c r="V11" i="5"/>
  <c r="Q25" i="5" s="1"/>
  <c r="O13" i="5"/>
  <c r="P27" i="5" s="1"/>
  <c r="V6" i="5"/>
  <c r="Q20" i="5" s="1"/>
  <c r="K27" i="12" l="1"/>
  <c r="L27" i="12"/>
  <c r="AP5" i="13"/>
  <c r="AZ5" i="13"/>
  <c r="H9" i="5"/>
  <c r="O23" i="5" s="1"/>
  <c r="H10" i="5"/>
  <c r="O24" i="5" s="1"/>
  <c r="H15" i="5"/>
  <c r="O29" i="5" s="1"/>
  <c r="H12" i="5"/>
  <c r="O26" i="5" s="1"/>
  <c r="V16" i="5"/>
  <c r="H13" i="5"/>
  <c r="O27" i="5" s="1"/>
  <c r="H6" i="5"/>
  <c r="O20" i="5" s="1"/>
  <c r="O16" i="5"/>
  <c r="H14" i="5"/>
  <c r="O28" i="5" s="1"/>
  <c r="H7" i="5"/>
  <c r="O21" i="5" s="1"/>
  <c r="H8" i="5"/>
  <c r="O22" i="5" s="1"/>
  <c r="H11" i="5"/>
  <c r="O25" i="5" s="1"/>
  <c r="H16" i="5" l="1"/>
  <c r="F96" i="1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tc={6BE6D10D-A87E-4308-9327-A37D71C4704D}</author>
  </authors>
  <commentList>
    <comment ref="J30" authorId="0" shapeId="0" xr:uid="{6BE6D10D-A87E-4308-9327-A37D71C4704D}">
      <text>
        <t>[Threaded comment]
Your version of Excel allows you to read this threaded comment; however, any edits to it will get removed if the file is opened in a newer version of Excel. Learn more: https://go.microsoft.com/fwlink/?linkid=870924
Comment:
    Needs to be updated annually during work planning development process.</t>
      </text>
    </comment>
  </commentList>
</comments>
</file>

<file path=xl/sharedStrings.xml><?xml version="1.0" encoding="utf-8"?>
<sst xmlns="http://schemas.openxmlformats.org/spreadsheetml/2006/main" count="1868" uniqueCount="643">
  <si>
    <t>Table of Contents</t>
  </si>
  <si>
    <t>Sheet Name</t>
  </si>
  <si>
    <t>Notes</t>
  </si>
  <si>
    <t>Category</t>
  </si>
  <si>
    <t>Summary Categories</t>
  </si>
  <si>
    <t>Details on costs</t>
  </si>
  <si>
    <t>Existing Measure Review &amp; Updates</t>
  </si>
  <si>
    <t>Measure Review/Development &amp; Technical Analysis</t>
  </si>
  <si>
    <t>Category History</t>
  </si>
  <si>
    <t>New Measure Development &amp; Review of Unsolicited Proposals</t>
  </si>
  <si>
    <t>Standardization of Technical Analysis</t>
  </si>
  <si>
    <t>Tool Development</t>
  </si>
  <si>
    <t>Regional Coordination</t>
  </si>
  <si>
    <t>Demand Response</t>
  </si>
  <si>
    <t>RTF Member Support &amp; Administration</t>
  </si>
  <si>
    <t>RTF Management</t>
  </si>
  <si>
    <t>These categories are fixed costs the RTF must bear for operations and to meet the by laws and charter.</t>
  </si>
  <si>
    <t xml:space="preserve">Website, Database support, Conservation Tracking </t>
  </si>
  <si>
    <t>NWPCC In-Kind</t>
  </si>
  <si>
    <t>Breakdown of Northwest Power and Conservation Council staff cost estimates. Does not include other in-kind costs, such as space, computer equipment, website contracts, etc.</t>
  </si>
  <si>
    <t>Five year work plan by category. This is based on setting levels for funding agreements (and is not updated annually to reflect the draft or final work plan). Out years were developed based on planned work flow and a steady annual budget adjusted for inflation. Additional details are provided in the RTF Business Plan.</t>
  </si>
  <si>
    <t>Funding Shares</t>
  </si>
  <si>
    <t>Funding shares by sponsors are based on the NEEA formula and the cost share agreements between gas and electric utilities.</t>
  </si>
  <si>
    <t>Carryover</t>
  </si>
  <si>
    <t>Funding Splits</t>
  </si>
  <si>
    <t>Contract RFP
2025</t>
  </si>
  <si>
    <t>RTF Contract Analyst Team 
2025</t>
  </si>
  <si>
    <t>RTF Manager 2025</t>
  </si>
  <si>
    <t>Subtotal Funders 
2025</t>
  </si>
  <si>
    <t>Council In-Kind Contribution 2025</t>
  </si>
  <si>
    <t>% of total</t>
  </si>
  <si>
    <t>Contract RFP
2024</t>
  </si>
  <si>
    <t>RTF Contract Analyst Team 
2024</t>
  </si>
  <si>
    <t>RTF Manager 2024</t>
  </si>
  <si>
    <t>Subtotal Funders 
2024</t>
  </si>
  <si>
    <t>Council In-Kind Contribution 2024</t>
  </si>
  <si>
    <t>N/A</t>
  </si>
  <si>
    <t>Subtotal New Work</t>
  </si>
  <si>
    <t>RTF Budgets (not including Council In-Kind Contribution)</t>
  </si>
  <si>
    <t>RTF Budgets - Contract RFP Allocation</t>
  </si>
  <si>
    <t>RTF Budgets - Contract Analyst Team Allocation</t>
  </si>
  <si>
    <t>Planning Measure Research</t>
  </si>
  <si>
    <t>Category Level Budget &amp; two-year look back</t>
  </si>
  <si>
    <t>These categories account for all the RTF measure work and are typically variable in the number of reviews or new measures developed annual. The assumptions for these budget figures are based on the assumptions on the measure timing and costs tab.</t>
  </si>
  <si>
    <t>Tools, Research, Data &amp; Regional Coordination</t>
  </si>
  <si>
    <t>These categories include maintenance of the tools and supplemental activities to the measures and are thought to provide value to the region.</t>
  </si>
  <si>
    <t>This provides the funding breakdown between electric, natural gas, and demand response budgets. It is used as a reference of actual spend and work plan estimates relative to funding agreement levels.</t>
  </si>
  <si>
    <t>This category is for specific projects to support the research to complete the research objectives of current active RTF Planning measures.</t>
  </si>
  <si>
    <t>Percentage of RTF Budget by Category</t>
  </si>
  <si>
    <t>Funding Shares and Total Five Year Funding Details</t>
  </si>
  <si>
    <t>2025-2029 Budget</t>
  </si>
  <si>
    <t>Percent of Total Budget</t>
  </si>
  <si>
    <t>Total</t>
  </si>
  <si>
    <t>Total Funds</t>
  </si>
  <si>
    <t>Electric</t>
  </si>
  <si>
    <t>Annual Electric Funds</t>
  </si>
  <si>
    <t>Annual Gas Funds</t>
  </si>
  <si>
    <t>Annual Funding Shares (Combined) for 2025-2029</t>
  </si>
  <si>
    <t>Organization</t>
  </si>
  <si>
    <t>RTF Proposed Funding Shares</t>
  </si>
  <si>
    <t>Share of RTF Budget</t>
  </si>
  <si>
    <t>Bonneville Power Administration</t>
  </si>
  <si>
    <t>Energy Trust of Oregon</t>
  </si>
  <si>
    <t>Puget Sound Energy</t>
  </si>
  <si>
    <t>Idaho Power Company</t>
  </si>
  <si>
    <t>Avista Corporation, Inc</t>
  </si>
  <si>
    <t>Seattle City Light</t>
  </si>
  <si>
    <t>PacifiCorp (Washington)</t>
  </si>
  <si>
    <t>Cascade Natural Gas</t>
  </si>
  <si>
    <t>PacifiCorp (Idaho)</t>
  </si>
  <si>
    <t>PUD No 1 of Clark County</t>
  </si>
  <si>
    <t>Chelan</t>
  </si>
  <si>
    <t>Tacoma Power</t>
  </si>
  <si>
    <t>NW Natural</t>
  </si>
  <si>
    <t>Portland General Electric (Energy Trust DR Share)</t>
  </si>
  <si>
    <t>Snohomish County PUD</t>
  </si>
  <si>
    <t>PacifiCorp (Oregon)</t>
  </si>
  <si>
    <t>Eugene Water &amp; Electric Board</t>
  </si>
  <si>
    <t>PUD No 1 of Cowlitz County</t>
  </si>
  <si>
    <t>Puget Sound Energy*</t>
  </si>
  <si>
    <t>*Per Washington House Bill 1589, Puget Sound Energy is no longer able to support the inducement of residential gas energy efficiency. Given this, PSE's portion of the RTF gas budget was reduced by $38,800 ($7,760 annually) to remove funding for the update and maintenance of the three existing residential gas only energy efficiency measures.</t>
  </si>
  <si>
    <t>Annual Funding Shares (Gas) for 2025-2029</t>
  </si>
  <si>
    <t>NEEA Funding Allocation</t>
  </si>
  <si>
    <t>Avista Corporation, Inc.</t>
  </si>
  <si>
    <t>Annual Funding Shares (Electric, excluding DR) for 2025-2029</t>
  </si>
  <si>
    <t>Annual Funding Shares (Demand Response) for 2025-2029</t>
  </si>
  <si>
    <t>PacifiCorp OR (Energy Trust DR Share)</t>
  </si>
  <si>
    <t>Natural Gas</t>
  </si>
  <si>
    <t>Annual Demand Response Funds</t>
  </si>
  <si>
    <t>Estimated Spend</t>
  </si>
  <si>
    <t>Estimated/Actual Spend and Remaining</t>
  </si>
  <si>
    <t>Annual Percent Splits</t>
  </si>
  <si>
    <t>Enter all-in staff rate</t>
  </si>
  <si>
    <t>FTE</t>
  </si>
  <si>
    <t>Name</t>
  </si>
  <si>
    <t>Admin Area</t>
  </si>
  <si>
    <t>Estimated Fraction of Time on RTF Administration</t>
  </si>
  <si>
    <t>Estimated Fraction of Time on RTF Technical Work</t>
  </si>
  <si>
    <t>Total Fraction FTE to RTF</t>
  </si>
  <si>
    <t>Jennifer Light</t>
  </si>
  <si>
    <t xml:space="preserve">Division Director </t>
  </si>
  <si>
    <t>Kevin Smit</t>
  </si>
  <si>
    <t>Manager of Conservation Resources, RTF Chair</t>
  </si>
  <si>
    <t>Christian Douglass</t>
  </si>
  <si>
    <t>Senior Energy Efficiency Analyst, RTF Vice Chair</t>
  </si>
  <si>
    <t>TBD</t>
  </si>
  <si>
    <t>Chad Madron</t>
  </si>
  <si>
    <t>Admin</t>
  </si>
  <si>
    <t>Trina Gerlack</t>
  </si>
  <si>
    <t>Travel</t>
  </si>
  <si>
    <t>Anne O'Reilly</t>
  </si>
  <si>
    <t>Billing</t>
  </si>
  <si>
    <t>John Shurts</t>
  </si>
  <si>
    <t>Legal &amp; Contracts</t>
  </si>
  <si>
    <t>Kendra Coles</t>
  </si>
  <si>
    <t>Peter Jensen</t>
  </si>
  <si>
    <t>Communications and RTF Annual Report</t>
  </si>
  <si>
    <t>Laura Thomas</t>
  </si>
  <si>
    <t>RTF Manager</t>
  </si>
  <si>
    <t>With RTF Manager as part of RTF funds</t>
  </si>
  <si>
    <t>Existing Measure Timing and Cost Assumptions</t>
  </si>
  <si>
    <t>Per Unit Assumptions</t>
  </si>
  <si>
    <t>Cost Assumptions per Unit 2025</t>
  </si>
  <si>
    <t>Cost Assumptions per Unit 2026</t>
  </si>
  <si>
    <t>Cost Assumptions per Unit 2027</t>
  </si>
  <si>
    <t>Cost Assumptions per Unit 2028</t>
  </si>
  <si>
    <t>Cost Assumptions per Unit 2029</t>
  </si>
  <si>
    <t>Total 2025</t>
  </si>
  <si>
    <t>Total 2026</t>
  </si>
  <si>
    <t>Total 2027</t>
  </si>
  <si>
    <t>Total 2028</t>
  </si>
  <si>
    <t>Total 2029</t>
  </si>
  <si>
    <t>QAQC Contract Cost per Unit</t>
  </si>
  <si>
    <t>Existing Measure Update Cost per Unit (Contractor or Contract Analyst Team)</t>
  </si>
  <si>
    <t>New Measure Development Cost per Unit (Contractor or Contract Analyst Team)</t>
  </si>
  <si>
    <t>Council Staff Cost per Unit</t>
  </si>
  <si>
    <t>Estimated Number of New Measures by Details</t>
  </si>
  <si>
    <t>Lunch Costs per Meeting Assumption</t>
  </si>
  <si>
    <t>Small &amp; Rural Utilities</t>
  </si>
  <si>
    <t>Minutes 2025 Estimate</t>
  </si>
  <si>
    <t>Electric only</t>
  </si>
  <si>
    <t>Flexible electric only</t>
  </si>
  <si>
    <t>Dual fuel</t>
  </si>
  <si>
    <t>Number of In Person Meetings Per Year</t>
  </si>
  <si>
    <t>Gas only</t>
  </si>
  <si>
    <t>Lunch Costs Per Year</t>
  </si>
  <si>
    <t>Impact Evaluation Guidance</t>
  </si>
  <si>
    <t>Minutes Estimate</t>
  </si>
  <si>
    <t>DR Technologies</t>
  </si>
  <si>
    <t>Annual Audit Cost Estimate</t>
  </si>
  <si>
    <t>Annual RCP Cost Estimate</t>
  </si>
  <si>
    <t>Summary of Existing Measures by Details</t>
  </si>
  <si>
    <t>Total Measures Annually</t>
  </si>
  <si>
    <t>Existing Measure Title</t>
  </si>
  <si>
    <t>Sector</t>
  </si>
  <si>
    <t>Application</t>
  </si>
  <si>
    <t>Fuel</t>
  </si>
  <si>
    <t>Flexible Technology</t>
  </si>
  <si>
    <t>Status</t>
  </si>
  <si>
    <t>Latest RTF Decision</t>
  </si>
  <si>
    <t>Type</t>
  </si>
  <si>
    <t>Residential Refrigerators and Freezers</t>
  </si>
  <si>
    <t>residential</t>
  </si>
  <si>
    <t>appliances</t>
  </si>
  <si>
    <t>electric</t>
  </si>
  <si>
    <t>no</t>
  </si>
  <si>
    <t>proven</t>
  </si>
  <si>
    <t>active</t>
  </si>
  <si>
    <t>January 2019</t>
  </si>
  <si>
    <t>UES</t>
  </si>
  <si>
    <t>x</t>
  </si>
  <si>
    <t>Assumes 1 update</t>
  </si>
  <si>
    <t>Steamers</t>
  </si>
  <si>
    <t>commercial</t>
  </si>
  <si>
    <t>cooking equipment</t>
  </si>
  <si>
    <t>dual</t>
  </si>
  <si>
    <t>small saver</t>
  </si>
  <si>
    <t>May 2021</t>
  </si>
  <si>
    <t>Convection Ovens</t>
  </si>
  <si>
    <t>June 2021</t>
  </si>
  <si>
    <t>Rack Ovens</t>
  </si>
  <si>
    <t>gas</t>
  </si>
  <si>
    <t>Combination Ovens</t>
  </si>
  <si>
    <t>planning</t>
  </si>
  <si>
    <t>July 2021</t>
  </si>
  <si>
    <t>Fryers</t>
  </si>
  <si>
    <t>planning, small saver</t>
  </si>
  <si>
    <t>Griddles</t>
  </si>
  <si>
    <t>Hot Food Holding Cabinets</t>
  </si>
  <si>
    <t>Doorway Air Curtains</t>
  </si>
  <si>
    <t>grocery</t>
  </si>
  <si>
    <t>March 2023</t>
  </si>
  <si>
    <t>Floating Head Pressure Controls for Single Compressor Systems</t>
  </si>
  <si>
    <t>July 2019</t>
  </si>
  <si>
    <t>Strip Curtains</t>
  </si>
  <si>
    <t>Residential Gas Furnaces</t>
  </si>
  <si>
    <t>HVAC</t>
  </si>
  <si>
    <t>Industrial SEM</t>
  </si>
  <si>
    <t>industrial</t>
  </si>
  <si>
    <t>whole buildings</t>
  </si>
  <si>
    <t>guidance document</t>
  </si>
  <si>
    <t>Potato/Onion Shed Variable Frequency Drives</t>
  </si>
  <si>
    <t>agricultural</t>
  </si>
  <si>
    <t>motors/drives</t>
  </si>
  <si>
    <t>August 2019</t>
  </si>
  <si>
    <t>Small Commercial DHPs</t>
  </si>
  <si>
    <t>yes</t>
  </si>
  <si>
    <t>August 2021</t>
  </si>
  <si>
    <t>planning, proven</t>
  </si>
  <si>
    <t>under review</t>
  </si>
  <si>
    <t>December 2023</t>
  </si>
  <si>
    <t>High Efficiency Residential Central Air Conditioners</t>
  </si>
  <si>
    <t>January 2023</t>
  </si>
  <si>
    <t>New Homes Standard Protocol</t>
  </si>
  <si>
    <t>new construction</t>
  </si>
  <si>
    <t>February 2022</t>
  </si>
  <si>
    <t>Standard Protocol</t>
  </si>
  <si>
    <t>Ductless Heat Pump for Forced Air Furnace SF and MH</t>
  </si>
  <si>
    <t>September 2021</t>
  </si>
  <si>
    <t>Ductless Heat Pumps for Multifamily</t>
  </si>
  <si>
    <t>Commercial Timers on Water Coolers</t>
  </si>
  <si>
    <t>plug loads</t>
  </si>
  <si>
    <t>October 2021</t>
  </si>
  <si>
    <t>Residential Air Purifiers</t>
  </si>
  <si>
    <t>Retrofit Doors on Existing Display Cases</t>
  </si>
  <si>
    <t>October 2019</t>
  </si>
  <si>
    <t>New Manufactured Homes and HVAC</t>
  </si>
  <si>
    <t>May 2023</t>
  </si>
  <si>
    <t>DHW</t>
  </si>
  <si>
    <t>Assumes 2 updates</t>
  </si>
  <si>
    <t>Residential Heat Pump Water Heaters</t>
  </si>
  <si>
    <t>April 2022</t>
  </si>
  <si>
    <t>Non-Residential Lighting Midstream</t>
  </si>
  <si>
    <t>agricultural, commercial, industrial</t>
  </si>
  <si>
    <t>lighting</t>
  </si>
  <si>
    <t>December 2022</t>
  </si>
  <si>
    <t>heating/cooling</t>
  </si>
  <si>
    <t>December 2021</t>
  </si>
  <si>
    <t>Door Sweeps</t>
  </si>
  <si>
    <t>weatherization</t>
  </si>
  <si>
    <t>High Efficiency Decoupled Commercial HVAC Retrofits (DOAS)</t>
  </si>
  <si>
    <t>February 2023</t>
  </si>
  <si>
    <t>Assumes 1 update. Measure expected to be developed in 2024.</t>
  </si>
  <si>
    <t>Irrigation Reduction for Orchards and Vineyards</t>
  </si>
  <si>
    <t>Irrigation</t>
  </si>
  <si>
    <t>Irrigation Pump Controls Demand Response</t>
  </si>
  <si>
    <t>irrigation</t>
  </si>
  <si>
    <t>May 2019</t>
  </si>
  <si>
    <t>DR Technology</t>
  </si>
  <si>
    <t>September 2023</t>
  </si>
  <si>
    <t>Assumes 3 updates</t>
  </si>
  <si>
    <t>Non-Residential Lighting Retrofits</t>
  </si>
  <si>
    <t>Connected Thermostats</t>
  </si>
  <si>
    <t>January 2022</t>
  </si>
  <si>
    <t>Commercial &amp; Industrial Fans</t>
  </si>
  <si>
    <t>commercial, industrial</t>
  </si>
  <si>
    <t>Fans</t>
  </si>
  <si>
    <t>Assumes 1 updates</t>
  </si>
  <si>
    <t>Commercial Secondary Glazing Systems</t>
  </si>
  <si>
    <t>Commercial Connected Thermostats</t>
  </si>
  <si>
    <t>March 2021</t>
  </si>
  <si>
    <t>March 2022</t>
  </si>
  <si>
    <t>Irrigation Hardware Upgrades</t>
  </si>
  <si>
    <t>March 2020</t>
  </si>
  <si>
    <t>Residential Electronic Line Voltage Thermostats</t>
  </si>
  <si>
    <t>Duct Sealing SF</t>
  </si>
  <si>
    <t>June 2022</t>
  </si>
  <si>
    <t>Anti-Sweat Heater Controls</t>
  </si>
  <si>
    <t>June 2020</t>
  </si>
  <si>
    <t>ENERGY STAR Ice Makers</t>
  </si>
  <si>
    <t>School Weatherization</t>
  </si>
  <si>
    <t>July 2020</t>
  </si>
  <si>
    <t>Voltage Optimization Protocol</t>
  </si>
  <si>
    <t>utility system efficiency</t>
  </si>
  <si>
    <t>utility distribution system</t>
  </si>
  <si>
    <t>refrigeration</t>
  </si>
  <si>
    <t>Residential Gas Fireplaces</t>
  </si>
  <si>
    <t>September 2022</t>
  </si>
  <si>
    <t>Commercial Boilers</t>
  </si>
  <si>
    <t>February 2021</t>
  </si>
  <si>
    <t>Commercial Boiler Systems</t>
  </si>
  <si>
    <t>November 2020</t>
  </si>
  <si>
    <t>December 2020</t>
  </si>
  <si>
    <t>Residential Clothes Washers</t>
  </si>
  <si>
    <t>Commercial Clothes Washers</t>
  </si>
  <si>
    <t>Irrigation Hardware Maintenance</t>
  </si>
  <si>
    <t>Compressor Head Fan Motor Retrofit to ECM</t>
  </si>
  <si>
    <t>April 2021</t>
  </si>
  <si>
    <t>Display Case Evaporator Fan Motor Retrofit</t>
  </si>
  <si>
    <t>Residential Gas Water Heaters</t>
  </si>
  <si>
    <t>Efficient Pumps</t>
  </si>
  <si>
    <t>pumps</t>
  </si>
  <si>
    <t>April 2023</t>
  </si>
  <si>
    <t>Assuems 2 updates</t>
  </si>
  <si>
    <t>Walk-in Evaporator Fan Motor Controllers</t>
  </si>
  <si>
    <t>Walk-In Evaporator Fan Motor Retrofit</t>
  </si>
  <si>
    <t>Level 2 Electric Vehicle Chargers</t>
  </si>
  <si>
    <t>commercial, residential</t>
  </si>
  <si>
    <t>Manufactured Home Weatherization</t>
  </si>
  <si>
    <t>Single Family Weatherization</t>
  </si>
  <si>
    <t>Multi-Family Weatherization</t>
  </si>
  <si>
    <t>June 2023</t>
  </si>
  <si>
    <t>Forced Circulation Generator Engine Block Heaters for Nonresidential Standby Generators</t>
  </si>
  <si>
    <t>non-residential</t>
  </si>
  <si>
    <t>building distribution system</t>
  </si>
  <si>
    <t>July 2023</t>
  </si>
  <si>
    <t>Vehicle Engine Block Heater Controls</t>
  </si>
  <si>
    <t>electronics</t>
  </si>
  <si>
    <t>Non-Residential Lighting Code Compliant</t>
  </si>
  <si>
    <t>standard protocol</t>
  </si>
  <si>
    <t>Advanced Rooftop Controls</t>
  </si>
  <si>
    <t>October 2023</t>
  </si>
  <si>
    <t>Variable Speed Drives</t>
  </si>
  <si>
    <t>fans</t>
  </si>
  <si>
    <t>Circulator Pumps</t>
  </si>
  <si>
    <t>Package Terminal Heat Pumps Multi-family</t>
  </si>
  <si>
    <t>to be determined</t>
  </si>
  <si>
    <t>Package Terminal Heat Pumps for Commercial Lodging</t>
  </si>
  <si>
    <t>November 2023</t>
  </si>
  <si>
    <t>Compressed Air</t>
  </si>
  <si>
    <t>compressed air</t>
  </si>
  <si>
    <t>May 2022</t>
  </si>
  <si>
    <t>Irrigation Pressure Reduction</t>
  </si>
  <si>
    <t>agriculture</t>
  </si>
  <si>
    <t>Manufactured Home Replacement</t>
  </si>
  <si>
    <t>Thermostatic Shower Restriction Valve</t>
  </si>
  <si>
    <t>Demand Controlled Kitchen Ventilation Standard Protocol</t>
  </si>
  <si>
    <t>July 2022</t>
  </si>
  <si>
    <t>Transformer De-energizing</t>
  </si>
  <si>
    <t>August 2022</t>
  </si>
  <si>
    <t>Efficient Spas (PES)</t>
  </si>
  <si>
    <t>Floating Pressure Controls for Multiplex Systems Standard Protocol</t>
  </si>
  <si>
    <t>N/A - Standard Protocol</t>
  </si>
  <si>
    <t>Green Motor Rewind</t>
  </si>
  <si>
    <t>agricultural, industrial</t>
  </si>
  <si>
    <t>October 2022</t>
  </si>
  <si>
    <t>Energy-Free Stock Watering Tanks</t>
  </si>
  <si>
    <t>Water Heating</t>
  </si>
  <si>
    <t>Thermostatically Controlled Outlet for Pump House Heaters</t>
  </si>
  <si>
    <t>On-Demand Overwrappers</t>
  </si>
  <si>
    <t>Display Case Lighting</t>
  </si>
  <si>
    <t>proven, small saver</t>
  </si>
  <si>
    <t>Refrigerated Warehouse Controls</t>
  </si>
  <si>
    <t>June 2019</t>
  </si>
  <si>
    <t>Whole Building Performance, Commercial</t>
  </si>
  <si>
    <t>whole building</t>
  </si>
  <si>
    <t>Chillers</t>
  </si>
  <si>
    <t>Commercial DOAS</t>
  </si>
  <si>
    <t>Commercial Gas PACs</t>
  </si>
  <si>
    <t>Residential Behavior</t>
  </si>
  <si>
    <t>Measures and Cost Assumptions</t>
  </si>
  <si>
    <t>Assumptions of timeline for existing measure update and new measure development. Includes cost assomptions to inform contractor and RTF staff work. Used as a reference.</t>
  </si>
  <si>
    <t>Contract RFP
2026</t>
  </si>
  <si>
    <t>RTF Contract Analyst Team 
2026</t>
  </si>
  <si>
    <t>RTF Manager 2026</t>
  </si>
  <si>
    <t>Subtotal Funders 
2026</t>
  </si>
  <si>
    <t>Council In-Kind Contribution 2026</t>
  </si>
  <si>
    <t>Contract RFP
2027</t>
  </si>
  <si>
    <t>RTF Contract Analyst Team 
2027</t>
  </si>
  <si>
    <t>RTF Manager 2027</t>
  </si>
  <si>
    <t>Subtotal Funders 
2027</t>
  </si>
  <si>
    <t>Council In-Kind Contribution 2027</t>
  </si>
  <si>
    <t>Contract RFP
2028</t>
  </si>
  <si>
    <t>RTF Contract Analyst Team 
2028</t>
  </si>
  <si>
    <t>RTF Manager 2028</t>
  </si>
  <si>
    <t>Subtotal Funders 
2028</t>
  </si>
  <si>
    <t>Council In-Kind Contribution 2028</t>
  </si>
  <si>
    <t>Contract RFP
2029</t>
  </si>
  <si>
    <t>RTF Contract Analyst Team 
2029</t>
  </si>
  <si>
    <t>RTF Manager 2029</t>
  </si>
  <si>
    <t>Subtotal Funders 
2029</t>
  </si>
  <si>
    <t>Council In-Kind Contribution 2029</t>
  </si>
  <si>
    <t>Strategic Plan Category Level Budget for 2025-2029</t>
  </si>
  <si>
    <t>Wage + Inflation Rate:</t>
  </si>
  <si>
    <t>This category is for demand response only work that are included in the proposed budget. It does not include costs for flexible measures, which is captured in the Measure Review/Development section.</t>
  </si>
  <si>
    <t>Category Details</t>
  </si>
  <si>
    <t>Total on Category Detail</t>
  </si>
  <si>
    <t>Total on Funding Shares</t>
  </si>
  <si>
    <t>Assumes Annual Wage &amp; Inflation Increase of:</t>
  </si>
  <si>
    <t>Total on Individual Catgories</t>
  </si>
  <si>
    <t>Proposed Funding for 2026</t>
  </si>
  <si>
    <t>Proposed Funding for 2027</t>
  </si>
  <si>
    <t>Proposed Funding for 2028</t>
  </si>
  <si>
    <t>Proposed Funding for 2029</t>
  </si>
  <si>
    <t>Detail by Category</t>
  </si>
  <si>
    <t>Contract RFP</t>
  </si>
  <si>
    <t>Contract Analyst Team</t>
  </si>
  <si>
    <t>Subtotal Funders</t>
  </si>
  <si>
    <t>Council Staff In-Kind Contribution</t>
  </si>
  <si>
    <t>Electric Split %</t>
  </si>
  <si>
    <t>Gas Split %</t>
  </si>
  <si>
    <t>Demand Response Split %</t>
  </si>
  <si>
    <t>Small &amp; Rural utilities recommended measures</t>
  </si>
  <si>
    <t>New flexible electric only measures</t>
  </si>
  <si>
    <t>New dual fuel measures</t>
  </si>
  <si>
    <t>New gas only measures</t>
  </si>
  <si>
    <t>Impact evaluation guidance</t>
  </si>
  <si>
    <t>Guidelines review and updates</t>
  </si>
  <si>
    <t>Standard Information Workbook updates</t>
  </si>
  <si>
    <t>Coordination and review across measures</t>
  </si>
  <si>
    <t>Assumes consistent level of CAT meeting time and coordination</t>
  </si>
  <si>
    <t>ProCost: Engine updates and ongoing maintenance</t>
  </si>
  <si>
    <t>REEDR: Residential building model maintenance and updates</t>
  </si>
  <si>
    <t>ModelKit: Commercial building model maintenance and updates</t>
  </si>
  <si>
    <t>Regional Coordination on Energy Efficiency</t>
  </si>
  <si>
    <t>Council Plan Support</t>
  </si>
  <si>
    <t>Savings Shape Development</t>
  </si>
  <si>
    <t>Regional Studies and Analysis</t>
  </si>
  <si>
    <t>Development of new demand response technologies</t>
  </si>
  <si>
    <t>Update of existing demand response technologies</t>
  </si>
  <si>
    <t>Assumes minor updates to REEDR with increased use and modeling for flexible and DR measures</t>
  </si>
  <si>
    <t>Regional Studies, Analysis and Coordination</t>
  </si>
  <si>
    <t>RTF Meetings and Member Support</t>
  </si>
  <si>
    <t>RTF Meetings, phone, web conference, meeting minutes</t>
  </si>
  <si>
    <t>Website, Database Support, and Conservation Tracking</t>
  </si>
  <si>
    <t>Website: Development and Management</t>
  </si>
  <si>
    <t>Annual Regional Conservation Progress Report</t>
  </si>
  <si>
    <t>Assumes contracting all of the data analysis and Council Support to track electric regional savings.</t>
  </si>
  <si>
    <t xml:space="preserve">Manage RTF work flow, develop agenda &amp; procedures &amp; budgets &amp; SOWs </t>
  </si>
  <si>
    <t>RTF Manager time spent on improving general RTF processes and managing day to day work of contracts</t>
  </si>
  <si>
    <t>Review,  Analytical, and Subcommittee Support</t>
  </si>
  <si>
    <t>RTF Manager time spent reviewing work products and engaging with subcommittees</t>
  </si>
  <si>
    <t xml:space="preserve">Manage RTF business activities, contracts, financial, bylaws, RTF PAC </t>
  </si>
  <si>
    <t>PAC materials preparation, contract and task order development, various business activities. Contract for Audit (estimated based on 2024 amount).</t>
  </si>
  <si>
    <t>RTF Outreach and Training</t>
  </si>
  <si>
    <t>Guidelines training, webinars, presentations related to RTF matters. Minimal contract analyst support</t>
  </si>
  <si>
    <t>RTF/Council Coordination</t>
  </si>
  <si>
    <t>Council meetings and other coordination with broader Council efforts</t>
  </si>
  <si>
    <t>Annual and Quarterly Reporting</t>
  </si>
  <si>
    <t>Review, development and presentation of RTF Annual Report, Council support for development.</t>
  </si>
  <si>
    <t>Travel to relevant Council meetings, related conferences, and other related regional travel</t>
  </si>
  <si>
    <t>Subcategory Totals</t>
  </si>
  <si>
    <t>Estimate of NPCC Cost for RTF (2025)</t>
  </si>
  <si>
    <t>Percentage of RTF Manager Time Assumptions</t>
  </si>
  <si>
    <t>Percentage</t>
  </si>
  <si>
    <t>RTF Manager Salary Estimate</t>
  </si>
  <si>
    <t>Were used for planning purposes and will be updated annually during work plan process</t>
  </si>
  <si>
    <t>to be developed</t>
  </si>
  <si>
    <t>deactivated</t>
  </si>
  <si>
    <t>Actual or Estimated Sunset/Review Date</t>
  </si>
  <si>
    <t>Assumes some support for the upcoming power plan</t>
  </si>
  <si>
    <t>Typical Rates for RTF Activities</t>
  </si>
  <si>
    <t>Periodic Salary Estimates</t>
  </si>
  <si>
    <t>Annual</t>
  </si>
  <si>
    <t>Month</t>
  </si>
  <si>
    <t>Week</t>
  </si>
  <si>
    <t>Day</t>
  </si>
  <si>
    <t>Hour</t>
  </si>
  <si>
    <t>1 day/wk</t>
  </si>
  <si>
    <t>2 day/wk</t>
  </si>
  <si>
    <t>1 day/mo</t>
  </si>
  <si>
    <t>2 day/mo</t>
  </si>
  <si>
    <t>3 day/mo</t>
  </si>
  <si>
    <t>ESTIMATOR</t>
  </si>
  <si>
    <t>Technical Work Rates</t>
  </si>
  <si>
    <t>Rate</t>
  </si>
  <si>
    <t>1 Day</t>
  </si>
  <si>
    <t>2 Day</t>
  </si>
  <si>
    <t>3 Day</t>
  </si>
  <si>
    <t>1 Week</t>
  </si>
  <si>
    <t>2 Week</t>
  </si>
  <si>
    <t>3 Week</t>
  </si>
  <si>
    <t>Percent of Year</t>
  </si>
  <si>
    <t>Percent of time</t>
  </si>
  <si>
    <t>Hours per year</t>
  </si>
  <si>
    <t>Hours per Month</t>
  </si>
  <si>
    <t>Hours per Week</t>
  </si>
  <si>
    <t>Days per Month</t>
  </si>
  <si>
    <t>Inputs</t>
  </si>
  <si>
    <t>Result</t>
  </si>
  <si>
    <t>hrs/year</t>
  </si>
  <si>
    <t>hrs/mo</t>
  </si>
  <si>
    <t>hrs/week</t>
  </si>
  <si>
    <t>Percent time</t>
  </si>
  <si>
    <t>4 Week</t>
  </si>
  <si>
    <t>Strategic Plan Year</t>
  </si>
  <si>
    <t>Council Contribution</t>
  </si>
  <si>
    <t>Percent</t>
  </si>
  <si>
    <t>Category Strategic Plan Funders Subtotal (excludes Council Contribution)</t>
  </si>
  <si>
    <t>Measure Analysis</t>
  </si>
  <si>
    <t>Tools and Regional Coordination</t>
  </si>
  <si>
    <t>Category Strategic Plan Total including Council Contribution)</t>
  </si>
  <si>
    <t>Annual Increase from 2025 base year</t>
  </si>
  <si>
    <t>Annual Increase year to year</t>
  </si>
  <si>
    <t>Electric EE Funds</t>
  </si>
  <si>
    <t>Electric DR Funds</t>
  </si>
  <si>
    <t>Gas Funds</t>
  </si>
  <si>
    <t>Centrally Ducted Air Source Heat Pump Upgrades and Conversions</t>
  </si>
  <si>
    <t>Assume periodic updates to include updated or new saving shapes from measure work and minor updates to support upcoming Power Plan.</t>
  </si>
  <si>
    <t>Estimate of NWPCC In-Kind Costs</t>
  </si>
  <si>
    <t>New electric only measures</t>
  </si>
  <si>
    <t>Task</t>
  </si>
  <si>
    <t>01a</t>
  </si>
  <si>
    <t>01b</t>
  </si>
  <si>
    <t>01c</t>
  </si>
  <si>
    <t>01d</t>
  </si>
  <si>
    <t>01e</t>
  </si>
  <si>
    <t>02a</t>
  </si>
  <si>
    <t>02b</t>
  </si>
  <si>
    <t>02c</t>
  </si>
  <si>
    <t>02d</t>
  </si>
  <si>
    <t>02e</t>
  </si>
  <si>
    <t>02f</t>
  </si>
  <si>
    <t>03a</t>
  </si>
  <si>
    <t>03b</t>
  </si>
  <si>
    <t>03c</t>
  </si>
  <si>
    <t>04a</t>
  </si>
  <si>
    <t>04c</t>
  </si>
  <si>
    <t>04b</t>
  </si>
  <si>
    <t>05a</t>
  </si>
  <si>
    <t>05b</t>
  </si>
  <si>
    <t>05c</t>
  </si>
  <si>
    <t>05d</t>
  </si>
  <si>
    <t xml:space="preserve">Assumes continued CAT participation  working with NEEA and BPA (ex. BPA Expert Panels) on understanding market data, including increasing granularity where possible. </t>
  </si>
  <si>
    <t>Regional Coordination Electric Working Groups</t>
  </si>
  <si>
    <t>06a</t>
  </si>
  <si>
    <t>06b</t>
  </si>
  <si>
    <t>06c</t>
  </si>
  <si>
    <t>06d</t>
  </si>
  <si>
    <t>08a</t>
  </si>
  <si>
    <t>08b</t>
  </si>
  <si>
    <t>09a</t>
  </si>
  <si>
    <t>09b/c</t>
  </si>
  <si>
    <t>Member and Contractor meeting participation and travel</t>
  </si>
  <si>
    <t>10a</t>
  </si>
  <si>
    <t>Category Detail for 2026</t>
  </si>
  <si>
    <t>This worksheet include the estimate of carryover and rollover funds. It outlines assumptions for how these will be applied in the work plan.</t>
  </si>
  <si>
    <t>Electric Only Measures slated to sunset</t>
  </si>
  <si>
    <t>Flexible Measures slated to sunset</t>
  </si>
  <si>
    <t>Dual Fuel Measures slated to sunset</t>
  </si>
  <si>
    <t>Gas Only Measures slated to sunset</t>
  </si>
  <si>
    <t>Ductless Heat Pumps One to One</t>
  </si>
  <si>
    <t>May 2025</t>
  </si>
  <si>
    <t>Commercial Dishwashers</t>
  </si>
  <si>
    <t>High Speed Automatic Doors for Refrigerated Warehouse</t>
  </si>
  <si>
    <t>Ductless Heat Pump Multi-head systems</t>
  </si>
  <si>
    <t>Commercial HPWHs Commissioning</t>
  </si>
  <si>
    <t>CDHP Minimal ER</t>
  </si>
  <si>
    <t>CDHP Last Measure In</t>
  </si>
  <si>
    <t>Heat Pump Retrocommissioning</t>
  </si>
  <si>
    <t>DHP for FAF with Optimized Controls</t>
  </si>
  <si>
    <t>Display Case Upgrade and Replacement</t>
  </si>
  <si>
    <t>Electric Vehicle Fuel Efficiency</t>
  </si>
  <si>
    <t>Heat Recovery Ventilation and Energy Recovery Ventilation</t>
  </si>
  <si>
    <t>Heat Pump Engine Block Heaters for Standby Generators</t>
  </si>
  <si>
    <t>Smart Inverters</t>
  </si>
  <si>
    <t>Commercial Heating (Radiant, Furnaces)</t>
  </si>
  <si>
    <t>Greenhouse Heating</t>
  </si>
  <si>
    <t>Commercial Water Heating (Tank and Tankless)</t>
  </si>
  <si>
    <t>Commercial Pool Heaters</t>
  </si>
  <si>
    <t>Assumes development in 2026 and 1 update</t>
  </si>
  <si>
    <t>Assumes development in 2025 and 1 update in 2028</t>
  </si>
  <si>
    <t>Assumes development in 2026 and 1 update in 2029</t>
  </si>
  <si>
    <t>Assumes development in 2027</t>
  </si>
  <si>
    <t>Assumed development in 2029</t>
  </si>
  <si>
    <t>Assumed development in 2026 and 1 update in 2029</t>
  </si>
  <si>
    <t>Assumes development in 2028</t>
  </si>
  <si>
    <t>Assumes development in 2029</t>
  </si>
  <si>
    <t>New DR</t>
  </si>
  <si>
    <t>New EE</t>
  </si>
  <si>
    <t>Assumes development in 2026</t>
  </si>
  <si>
    <t>New Guidance</t>
  </si>
  <si>
    <t>Guidelines update in 2025, assume minor additional work in 2026</t>
  </si>
  <si>
    <t>Assumes no update as all details of SIW was updated in 2024</t>
  </si>
  <si>
    <t>Electric Only measure slated to sunset</t>
  </si>
  <si>
    <t>Flexible measure slated to sunset</t>
  </si>
  <si>
    <t>Dual Fuel measure slated to sunset</t>
  </si>
  <si>
    <t>Gas Only measure slated to sunset</t>
  </si>
  <si>
    <t>Ductless Heat Pumps for Zonal Heat SF and MH</t>
  </si>
  <si>
    <t>Residential Dryers</t>
  </si>
  <si>
    <t>ENERGY STAR Commercial Refrigerators and Freezers</t>
  </si>
  <si>
    <t>Duct Sealing MH</t>
  </si>
  <si>
    <t>Assume development of QAQC tool to support modeling work</t>
  </si>
  <si>
    <t>Assumes no savings shape work outside of measure work</t>
  </si>
  <si>
    <t>Assumes slight increase to support member attendance and adjusted contractor time to reflect current estimates with slight increase for more in person meetings in 2026.</t>
  </si>
  <si>
    <t>Assumes focus on CAT team deeper analysis of HEMS/CEMS and RBSA III to inform measure and regional analysis work</t>
  </si>
  <si>
    <t>Assumes no additional work outside of potential CAT support in regional DR working groups.</t>
  </si>
  <si>
    <t>Assumes updates to incorporate RBSA III and HEMS data into REEDR and perform additional alignment and enhancements</t>
  </si>
  <si>
    <t>Total Proposed 2026 Budget:</t>
  </si>
  <si>
    <t>Estimated 2025 Carry Over:</t>
  </si>
  <si>
    <t>Estimated Additional Funding Available for 2026</t>
  </si>
  <si>
    <t>Proposed Amount for 2026</t>
  </si>
  <si>
    <t>Remaining</t>
  </si>
  <si>
    <t>Rollover Estimate: Electric EE</t>
  </si>
  <si>
    <t>Rollover Estimate: Electric DR</t>
  </si>
  <si>
    <t>Rollover Estimate: Gas</t>
  </si>
  <si>
    <t>Anticipated Additional Funds for 2026</t>
  </si>
  <si>
    <t>Carry Over Estimates (to inform table above)</t>
  </si>
  <si>
    <t>Amount</t>
  </si>
  <si>
    <t>Carry Over from Previous Cycles</t>
  </si>
  <si>
    <t>Estimated Unspent Obligated 2025 Funding</t>
  </si>
  <si>
    <t>Estimated Unobligated in 2025</t>
  </si>
  <si>
    <t>Total Carry Over Estimate</t>
  </si>
  <si>
    <t>Specific Projects Identified as Above and Beyond Strategic Plan</t>
  </si>
  <si>
    <t>Project</t>
  </si>
  <si>
    <t>Note</t>
  </si>
  <si>
    <t>D</t>
  </si>
  <si>
    <t>None, 2025 was first year in the funding cycle</t>
  </si>
  <si>
    <t>Anticipate this is all dual fuel funding. Less minutes time due to fewer RTF PAC meetings, less QAQC time anticipated due to a few measures being deactivated</t>
  </si>
  <si>
    <t>Pursued DR shape work internally to enable closer coordination with Council, delays getting research work off the ground, and less modeling work focus needed. Anticipate this is all dual fuel carry over as other DR work pursued with budget.</t>
  </si>
  <si>
    <t>Fuel (E, G, D, or DR)</t>
  </si>
  <si>
    <t>Develop QAQC Tool to support Modelkit work</t>
  </si>
  <si>
    <t>Assumes minor updates as needed.</t>
  </si>
  <si>
    <t>Assumes minor updates to REEDR with increased use and modeling for flexible and DR measures.</t>
  </si>
  <si>
    <t>Planning Measure Research Carry Over for Comm Connected Tstats</t>
  </si>
  <si>
    <t>Proposed category-level budget for 2026 and a historical look back of the past three years approved budget or strategic plan budgets. This includes electric, gas, and demand response costs.</t>
  </si>
  <si>
    <t>Detailed budget for 2026. Breaks down the high-level divisions into specific elements with specific costs.</t>
  </si>
  <si>
    <t>Cost for website hosting. Council provides in-kind support for RTF website maintenance.</t>
  </si>
  <si>
    <t>Approved Work Plan Budget 2025</t>
  </si>
  <si>
    <t>Business Plan (2025-2029)</t>
  </si>
  <si>
    <t>This worksheet provides the proposed funding levels based on the business plan amount before allocating any carryover funds. This is to be used for reference only.</t>
  </si>
  <si>
    <t>Approved Business Plan Budget 2024</t>
  </si>
  <si>
    <t>Proposed 2026 Budget</t>
  </si>
  <si>
    <t>Estimated Business Plan Budget 2027</t>
  </si>
  <si>
    <t>Estimated Business Plan Budget 2028</t>
  </si>
  <si>
    <t>Estimated Business Plan Budget 2029</t>
  </si>
  <si>
    <t>Current Funders Total</t>
  </si>
  <si>
    <t>Business Plan Total</t>
  </si>
  <si>
    <t>Pre-2012 Funds</t>
  </si>
  <si>
    <t>Final Available Funding</t>
  </si>
  <si>
    <t>Difference Between Final Funding and Business Plan</t>
  </si>
  <si>
    <t>Current Funders Total (Final Available Funds)</t>
  </si>
  <si>
    <t>Pre-2012 Funds**</t>
  </si>
  <si>
    <t>**In 2024, the RTF PAC agreed to budget was developed and agreed to anticipating that all funders for the 2020-2024 funding cycle. Prior to the Council's approval of the 2025 RTF Work Plan and Budget, the RTF PAC discussed that NorthWestern Energy had still not committed to funding the RTF for 2025-2029 (total portion of electric only funding of $189,400). At this same time, the RTF PAC discussed what to do with the $173,505 in electric funds from pre-2012 RTF budgets and was not spent during the 2020-204 Funding Cycle. At the October 2024 meeting, the RTF PAC agreed that if NorthWestern chose not to fund the RTF for all or a portion of the new funding cycle that the electric only funds from then the pre-2012 funds would be used to fill any budgetary gaps with any cut backs needed to the RTF work based on about $16,000 differences to be discussed in later years of the funding period during the work planning process. As of the development of the 2026 RTF Work Plan, NorthWestern is not currently a funder and this portion of the budget for 2025 and 2026 has been covered by the Pre-2012 funds (two year total of $71,900) resulting a remaining $101,605 in pre-2012 funds.</t>
  </si>
  <si>
    <t>Total Available Funds</t>
  </si>
  <si>
    <t>Agreed to Business Plan Total</t>
  </si>
  <si>
    <t>Regional Coordination Support</t>
  </si>
  <si>
    <t>Assumes continued CAT participation  working with NEEA and BPA (ex. BPA Expert Panels) CBSA, RBSA, and EULR working groups on understanding market data , including increasing granularity where possible. Assumes CAT support to review of regional utilities evaluations, and supporting programs or interested parties with questions regarding RTF resources. Includes estimated cost for contract analyst attending relevant conferences to support RTF work.</t>
  </si>
  <si>
    <t>Work Plan Based on Business Plan Amounts (Hidden)</t>
  </si>
  <si>
    <t>Work Plan Based on Business Plan Amount</t>
  </si>
  <si>
    <t>Agreed to Funding Amount Agreements</t>
  </si>
  <si>
    <t>Final Funding Available</t>
  </si>
  <si>
    <t>07a/b</t>
  </si>
  <si>
    <t>Planning Measure Research Project and Regional Coordination</t>
  </si>
  <si>
    <t>Assumes continued work on Connected Thermostat research strategy, potential additional project and RTF contract analyst team will support the convening of the regional entities supporting heat pump research of RTF Planning Measures to support coordination and analysis</t>
  </si>
  <si>
    <t>NOTE: Annual totals from 2026-2029 are not final and based on Business Plan agreed to Funding Amounts and do not represent the current available funding. Every year, the budget will be built up based on the funding shares on the summary analysis.</t>
  </si>
  <si>
    <t>Consumer Heat Pump Water Heater in Commercial Applications</t>
  </si>
  <si>
    <t>Assumes continued work on Connected Thermostat research strategy, potential additional project and RTF contract analyst team.</t>
  </si>
  <si>
    <t>Assumes focus on CAT team deeper analysis of HEMS/CEMS and RBSA III to inform measure and regional analysis work. Budget for to be determined project or study. Convening of the regional entities supporting heat pump research of RTF Planning Measures to support coordination and analysis</t>
  </si>
  <si>
    <t>Proposed Work Plan Budget 2026</t>
  </si>
  <si>
    <t>2026 Funding Total:</t>
  </si>
  <si>
    <t>Assumes consistent level of CAT meeting time and coordination. This time for the analyst team is to allow for them to coordinate, collaborate, and provide a rigourous review of each others work to ensure that work presented to the RTF is consistent and standardized.</t>
  </si>
  <si>
    <t>Final 2026 RTF Work Plan - October 7,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</si>
</sst>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6" formatCode="&quot;$&quot;#,##0_);[Red]\(&quot;$&quot;#,##0\)"/>
    <numFmt numFmtId="7" formatCode="&quot;$&quot;#,##0.00_);\(&quot;$&quot;#,##0.00\)"/>
    <numFmt numFmtId="44" formatCode="_(&quot;$&quot;* #,##0.00_);_(&quot;$&quot;* \(#,##0.00\);_(&quot;$&quot;* &quot;-&quot;??_);_(@_)"/>
    <numFmt numFmtId="43" formatCode="_(* #,##0.00_);_(* \(#,##0.00\);_(* &quot;-&quot;??_);_(@_)"/>
    <numFmt numFmtId="164" formatCode="_(&quot;$&quot;* #,##0_);_(&quot;$&quot;* \(#,##0\);_(&quot;$&quot;* &quot;-&quot;??_);_(@_)"/>
    <numFmt numFmtId="165" formatCode="&quot;$&quot;#,##0"/>
    <numFmt numFmtId="166" formatCode="_(* #,##0.0_);_(* \(#,##0.0\);_(* &quot;-&quot;??_);_(@_)"/>
    <numFmt numFmtId="167" formatCode="mm/dd/yy"/>
    <numFmt numFmtId="168" formatCode="_(&quot;$&quot;* #,##0.0_);_(&quot;$&quot;* \(#,##0.0\);_(&quot;$&quot;* &quot;-&quot;???_);_(@_)"/>
    <numFmt numFmtId="169" formatCode="_(&quot;$&quot;* #,##0_);_(&quot;$&quot;* \(#,##0\);_(&quot;$&quot;* &quot;-&quot;???_);_(@_)"/>
    <numFmt numFmtId="170" formatCode="&quot;$&quot;#,##0.00"/>
    <numFmt numFmtId="171" formatCode="&quot;$&quot;#,##0.0"/>
    <numFmt numFmtId="172" formatCode="&quot;$&quot;#,##0.0_);\(&quot;$&quot;#,##0.0\)"/>
    <numFmt numFmtId="173" formatCode="_([$$-409]* #,##0.00_);_([$$-409]* \(#,##0.00\);_([$$-409]* &quot;-&quot;??_);_(@_)"/>
    <numFmt numFmtId="174" formatCode="0.0"/>
    <numFmt numFmtId="175" formatCode="_([$$-409]* #,##0_);_([$$-409]* \(#,##0\);_([$$-409]* &quot;-&quot;??_);_(@_)"/>
  </numFmts>
  <fonts count="57" x14ac:knownFonts="1">
    <font>
      <sz val="10"/>
      <color theme="1"/>
      <name val="Arial"/>
      <family val="2"/>
    </font>
    <font>
      <sz val="10"/>
      <color theme="1"/>
      <name val="Arial"/>
      <family val="2"/>
    </font>
    <font>
      <b/>
      <sz val="10"/>
      <color theme="1"/>
      <name val="Arial"/>
      <family val="2"/>
    </font>
    <font>
      <b/>
      <sz val="14"/>
      <color theme="1"/>
      <name val="Calibri"/>
      <family val="2"/>
      <scheme val="minor"/>
    </font>
    <font>
      <sz val="12"/>
      <color theme="1"/>
      <name val="Calibri"/>
      <family val="2"/>
      <scheme val="minor"/>
    </font>
    <font>
      <i/>
      <sz val="11"/>
      <color theme="1"/>
      <name val="Calibri"/>
      <family val="2"/>
      <scheme val="minor"/>
    </font>
    <font>
      <sz val="10"/>
      <name val="Arial"/>
      <family val="2"/>
    </font>
    <font>
      <b/>
      <sz val="12"/>
      <color indexed="8"/>
      <name val="Calibri"/>
      <family val="2"/>
      <scheme val="minor"/>
    </font>
    <font>
      <sz val="12"/>
      <color indexed="8"/>
      <name val="Calibri"/>
      <family val="2"/>
      <scheme val="minor"/>
    </font>
    <font>
      <b/>
      <sz val="12"/>
      <color theme="1"/>
      <name val="Calibri"/>
      <family val="2"/>
      <scheme val="minor"/>
    </font>
    <font>
      <sz val="14"/>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u/>
      <sz val="10"/>
      <color theme="10"/>
      <name val="Arial"/>
      <family val="2"/>
    </font>
    <font>
      <sz val="11"/>
      <name val="Calibri"/>
      <family val="2"/>
      <scheme val="minor"/>
    </font>
    <font>
      <sz val="12"/>
      <name val="Calibri"/>
      <family val="2"/>
      <scheme val="minor"/>
    </font>
    <font>
      <b/>
      <sz val="12"/>
      <name val="Calibri"/>
      <family val="2"/>
      <scheme val="minor"/>
    </font>
    <font>
      <b/>
      <sz val="11"/>
      <name val="Calibri"/>
      <family val="2"/>
      <scheme val="minor"/>
    </font>
    <font>
      <u/>
      <sz val="12"/>
      <color rgb="FF0000FF"/>
      <name val="Calibri"/>
      <family val="2"/>
      <scheme val="minor"/>
    </font>
    <font>
      <sz val="12"/>
      <color rgb="FF000000"/>
      <name val="Calibri"/>
      <family val="2"/>
      <scheme val="minor"/>
    </font>
    <font>
      <u/>
      <sz val="12"/>
      <color rgb="FF1061C3"/>
      <name val="Calibri"/>
      <family val="2"/>
      <scheme val="minor"/>
    </font>
    <font>
      <i/>
      <sz val="11"/>
      <color theme="5"/>
      <name val="Calibri"/>
      <family val="2"/>
      <scheme val="minor"/>
    </font>
    <font>
      <sz val="12"/>
      <color theme="0"/>
      <name val="Calibri"/>
      <family val="2"/>
      <scheme val="minor"/>
    </font>
    <font>
      <b/>
      <sz val="14"/>
      <color rgb="FFFF0000"/>
      <name val="Calibri"/>
      <family val="2"/>
      <scheme val="minor"/>
    </font>
    <font>
      <i/>
      <sz val="12"/>
      <name val="Calibri"/>
      <family val="2"/>
      <scheme val="minor"/>
    </font>
    <font>
      <u/>
      <sz val="12"/>
      <color theme="10"/>
      <name val="Calibri"/>
      <family val="2"/>
      <scheme val="minor"/>
    </font>
    <font>
      <sz val="9"/>
      <color theme="1"/>
      <name val="Calibri"/>
      <family val="2"/>
      <scheme val="minor"/>
    </font>
    <font>
      <sz val="9"/>
      <color theme="1"/>
      <name val="Arial"/>
      <family val="2"/>
    </font>
    <font>
      <sz val="9"/>
      <name val="Calibri"/>
      <family val="2"/>
      <scheme val="minor"/>
    </font>
    <font>
      <sz val="9"/>
      <color rgb="FF00B050"/>
      <name val="Arial"/>
      <family val="2"/>
    </font>
    <font>
      <sz val="9"/>
      <name val="Arial"/>
      <family val="2"/>
    </font>
    <font>
      <sz val="10"/>
      <color theme="0"/>
      <name val="Arial"/>
      <family val="2"/>
    </font>
    <font>
      <sz val="11"/>
      <color rgb="FFFF0000"/>
      <name val="Calibri"/>
      <family val="2"/>
      <scheme val="minor"/>
    </font>
    <font>
      <sz val="10"/>
      <color rgb="FFFF0000"/>
      <name val="Calibri"/>
      <family val="2"/>
      <scheme val="minor"/>
    </font>
    <font>
      <sz val="14"/>
      <color rgb="FFFF0000"/>
      <name val="Calibri"/>
      <family val="2"/>
      <scheme val="minor"/>
    </font>
    <font>
      <sz val="12"/>
      <color theme="1"/>
      <name val="Aptos Narrow"/>
      <family val="2"/>
    </font>
    <font>
      <b/>
      <sz val="14"/>
      <color theme="1"/>
      <name val="Aptos Narrow"/>
      <family val="2"/>
    </font>
    <font>
      <sz val="12"/>
      <color theme="0"/>
      <name val="Aptos Narrow"/>
      <family val="2"/>
    </font>
    <font>
      <i/>
      <sz val="11"/>
      <color theme="1"/>
      <name val="Aptos Narrow"/>
      <family val="2"/>
    </font>
    <font>
      <sz val="11"/>
      <color theme="1"/>
      <name val="Aptos Narrow"/>
      <family val="2"/>
    </font>
    <font>
      <b/>
      <sz val="14"/>
      <color rgb="FFFF0000"/>
      <name val="Aptos Narrow"/>
      <family val="2"/>
    </font>
    <font>
      <b/>
      <sz val="12"/>
      <color theme="1"/>
      <name val="Aptos Narrow"/>
      <family val="2"/>
    </font>
    <font>
      <b/>
      <i/>
      <sz val="12"/>
      <color theme="1"/>
      <name val="Aptos Narrow"/>
      <family val="2"/>
    </font>
    <font>
      <sz val="10"/>
      <color theme="1"/>
      <name val="Aptos Narrow"/>
      <family val="2"/>
    </font>
    <font>
      <b/>
      <sz val="14"/>
      <color theme="0"/>
      <name val="Aptos Narrow"/>
      <family val="2"/>
    </font>
    <font>
      <b/>
      <sz val="12"/>
      <color theme="0"/>
      <name val="Aptos Narrow"/>
      <family val="2"/>
    </font>
    <font>
      <sz val="12"/>
      <name val="Aptos Narrow"/>
      <family val="2"/>
    </font>
    <font>
      <sz val="10"/>
      <name val="Aptos Narrow"/>
      <family val="2"/>
    </font>
    <font>
      <sz val="12"/>
      <color rgb="FFC00000"/>
      <name val="Aptos Narrow"/>
      <family val="2"/>
    </font>
    <font>
      <sz val="10"/>
      <color rgb="FFC00000"/>
      <name val="Aptos Narrow"/>
      <family val="2"/>
    </font>
    <font>
      <b/>
      <sz val="12"/>
      <name val="Aptos Narrow"/>
      <family val="2"/>
    </font>
    <font>
      <b/>
      <sz val="14"/>
      <color theme="1"/>
      <name val="Calibri"/>
      <family val="2"/>
    </font>
    <font>
      <b/>
      <sz val="12"/>
      <color theme="1"/>
      <name val="Calibri"/>
      <family val="2"/>
    </font>
    <font>
      <sz val="12"/>
      <color theme="1"/>
      <name val="Calibri"/>
      <family val="2"/>
    </font>
    <font>
      <i/>
      <sz val="12"/>
      <color theme="1"/>
      <name val="Calibri"/>
      <family val="2"/>
    </font>
  </fonts>
  <fills count="24">
    <fill>
      <patternFill patternType="none"/>
    </fill>
    <fill>
      <patternFill patternType="gray125"/>
    </fill>
    <fill>
      <patternFill patternType="solid">
        <fgColor theme="2" tint="-0.249977111117893"/>
        <bgColor indexed="64"/>
      </patternFill>
    </fill>
    <fill>
      <patternFill patternType="solid">
        <fgColor theme="0" tint="-0.14999847407452621"/>
        <bgColor indexed="64"/>
      </patternFill>
    </fill>
    <fill>
      <patternFill patternType="solid">
        <fgColor theme="5" tint="0.79998168889431442"/>
        <bgColor indexed="64"/>
      </patternFill>
    </fill>
    <fill>
      <patternFill patternType="solid">
        <fgColor theme="6" tint="0.59999389629810485"/>
        <bgColor indexed="64"/>
      </patternFill>
    </fill>
    <fill>
      <patternFill patternType="solid">
        <fgColor theme="7" tint="0.79998168889431442"/>
        <bgColor indexed="64"/>
      </patternFill>
    </fill>
    <fill>
      <patternFill patternType="solid">
        <fgColor theme="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8" tint="0.79998168889431442"/>
        <bgColor indexed="64"/>
      </patternFill>
    </fill>
    <fill>
      <patternFill patternType="solid">
        <fgColor theme="0"/>
        <bgColor indexed="64"/>
      </patternFill>
    </fill>
    <fill>
      <patternFill patternType="solid">
        <fgColor theme="6" tint="0.79998168889431442"/>
        <bgColor indexed="64"/>
      </patternFill>
    </fill>
    <fill>
      <patternFill patternType="solid">
        <fgColor theme="3" tint="0.79998168889431442"/>
        <bgColor indexed="64"/>
      </patternFill>
    </fill>
    <fill>
      <patternFill patternType="solid">
        <fgColor indexed="41"/>
        <bgColor indexed="64"/>
      </patternFill>
    </fill>
    <fill>
      <patternFill patternType="solid">
        <fgColor theme="8"/>
        <bgColor indexed="64"/>
      </patternFill>
    </fill>
    <fill>
      <patternFill patternType="solid">
        <fgColor theme="4" tint="0.39997558519241921"/>
        <bgColor indexed="64"/>
      </patternFill>
    </fill>
    <fill>
      <patternFill patternType="solid">
        <fgColor theme="7"/>
        <bgColor indexed="64"/>
      </patternFill>
    </fill>
    <fill>
      <patternFill patternType="solid">
        <fgColor theme="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1" tint="4.9989318521683403E-2"/>
        <bgColor indexed="64"/>
      </patternFill>
    </fill>
    <fill>
      <patternFill patternType="solid">
        <fgColor theme="1" tint="0.34998626667073579"/>
        <bgColor indexed="64"/>
      </patternFill>
    </fill>
    <fill>
      <patternFill patternType="solid">
        <fgColor theme="9"/>
        <bgColor indexed="64"/>
      </patternFill>
    </fill>
  </fills>
  <borders count="3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right/>
      <top style="medium">
        <color auto="1"/>
      </top>
      <bottom style="thin">
        <color auto="1"/>
      </bottom>
      <diagonal/>
    </border>
    <border>
      <left/>
      <right/>
      <top style="thin">
        <color auto="1"/>
      </top>
      <bottom style="medium">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style="thin">
        <color auto="1"/>
      </left>
      <right/>
      <top/>
      <bottom style="thin">
        <color auto="1"/>
      </bottom>
      <diagonal/>
    </border>
    <border>
      <left style="thin">
        <color auto="1"/>
      </left>
      <right style="thin">
        <color auto="1"/>
      </right>
      <top style="medium">
        <color auto="1"/>
      </top>
      <bottom style="medium">
        <color auto="1"/>
      </bottom>
      <diagonal/>
    </border>
    <border>
      <left/>
      <right/>
      <top style="medium">
        <color auto="1"/>
      </top>
      <bottom/>
      <diagonal/>
    </border>
    <border>
      <left style="thin">
        <color auto="1"/>
      </left>
      <right/>
      <top style="thin">
        <color auto="1"/>
      </top>
      <bottom/>
      <diagonal/>
    </border>
    <border>
      <left/>
      <right/>
      <top style="medium">
        <color auto="1"/>
      </top>
      <bottom style="medium">
        <color auto="1"/>
      </bottom>
      <diagonal/>
    </border>
    <border>
      <left/>
      <right/>
      <top/>
      <bottom style="thin">
        <color auto="1"/>
      </bottom>
      <diagonal/>
    </border>
    <border>
      <left/>
      <right/>
      <top/>
      <bottom style="medium">
        <color auto="1"/>
      </bottom>
      <diagonal/>
    </border>
    <border>
      <left style="medium">
        <color auto="1"/>
      </left>
      <right/>
      <top/>
      <bottom/>
      <diagonal/>
    </border>
    <border>
      <left/>
      <right style="thin">
        <color theme="1" tint="0.499984740745262"/>
      </right>
      <top/>
      <bottom/>
      <diagonal/>
    </border>
    <border>
      <left style="thin">
        <color theme="1" tint="0.499984740745262"/>
      </left>
      <right style="medium">
        <color auto="1"/>
      </right>
      <top/>
      <bottom/>
      <diagonal/>
    </border>
    <border>
      <left style="medium">
        <color auto="1"/>
      </left>
      <right style="thin">
        <color theme="1" tint="0.499984740745262"/>
      </right>
      <top/>
      <bottom/>
      <diagonal/>
    </border>
    <border>
      <left style="thin">
        <color theme="1" tint="0.499984740745262"/>
      </left>
      <right style="thin">
        <color theme="1" tint="0.499984740745262"/>
      </right>
      <top/>
      <bottom/>
      <diagonal/>
    </border>
    <border>
      <left style="medium">
        <color theme="0"/>
      </left>
      <right/>
      <top/>
      <bottom/>
      <diagonal/>
    </border>
    <border>
      <left/>
      <right style="medium">
        <color theme="0"/>
      </right>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right style="thin">
        <color auto="1"/>
      </right>
      <top/>
      <bottom style="thin">
        <color auto="1"/>
      </bottom>
      <diagonal/>
    </border>
    <border>
      <left style="thin">
        <color auto="1"/>
      </left>
      <right style="thin">
        <color auto="1"/>
      </right>
      <top style="medium">
        <color auto="1"/>
      </top>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s>
  <cellStyleXfs count="10">
    <xf numFmtId="0" fontId="0" fillId="0" borderId="0"/>
    <xf numFmtId="44" fontId="1" fillId="0" borderId="0" applyFont="0" applyFill="0" applyBorder="0" applyAlignment="0" applyProtection="0"/>
    <xf numFmtId="9" fontId="1" fillId="0" borderId="0" applyFont="0" applyFill="0" applyBorder="0" applyAlignment="0" applyProtection="0"/>
    <xf numFmtId="0" fontId="6" fillId="0" borderId="0"/>
    <xf numFmtId="9" fontId="1" fillId="0" borderId="0" applyFont="0" applyFill="0" applyBorder="0" applyAlignment="0" applyProtection="0"/>
    <xf numFmtId="0" fontId="15" fillId="0" borderId="0" applyNumberFormat="0" applyFill="0" applyBorder="0" applyAlignment="0" applyProtection="0"/>
    <xf numFmtId="44" fontId="6" fillId="0" borderId="0" applyFont="0" applyFill="0" applyBorder="0" applyAlignment="0" applyProtection="0"/>
    <xf numFmtId="43" fontId="6" fillId="0" borderId="0" applyFont="0" applyFill="0" applyBorder="0" applyAlignment="0" applyProtection="0"/>
    <xf numFmtId="44" fontId="1" fillId="0" borderId="0" applyFont="0" applyFill="0" applyBorder="0" applyAlignment="0" applyProtection="0"/>
    <xf numFmtId="9" fontId="6" fillId="0" borderId="0" applyFont="0" applyFill="0" applyBorder="0" applyAlignment="0" applyProtection="0"/>
  </cellStyleXfs>
  <cellXfs count="476">
    <xf numFmtId="0" fontId="0" fillId="0" borderId="0" xfId="0"/>
    <xf numFmtId="0" fontId="3" fillId="0" borderId="0" xfId="0" applyFont="1"/>
    <xf numFmtId="0" fontId="4" fillId="0" borderId="0" xfId="0" applyFont="1"/>
    <xf numFmtId="0" fontId="5" fillId="0" borderId="0" xfId="0" applyFont="1"/>
    <xf numFmtId="0" fontId="4" fillId="2" borderId="1" xfId="0" applyFont="1" applyFill="1" applyBorder="1"/>
    <xf numFmtId="0" fontId="7" fillId="3" borderId="1" xfId="3" applyFont="1" applyFill="1" applyBorder="1"/>
    <xf numFmtId="0" fontId="4" fillId="0" borderId="1" xfId="0" applyFont="1" applyBorder="1" applyAlignment="1">
      <alignment vertical="center" wrapText="1"/>
    </xf>
    <xf numFmtId="0" fontId="8" fillId="4" borderId="1" xfId="3" applyFont="1" applyFill="1" applyBorder="1" applyAlignment="1">
      <alignment vertical="center" wrapText="1"/>
    </xf>
    <xf numFmtId="0" fontId="8" fillId="5" borderId="1" xfId="3" applyFont="1" applyFill="1" applyBorder="1" applyAlignment="1">
      <alignment vertical="center" wrapText="1"/>
    </xf>
    <xf numFmtId="0" fontId="8" fillId="6" borderId="1" xfId="3" applyFont="1" applyFill="1" applyBorder="1" applyAlignment="1">
      <alignment vertical="center" wrapText="1"/>
    </xf>
    <xf numFmtId="0" fontId="4" fillId="6" borderId="1" xfId="0" applyFont="1" applyFill="1" applyBorder="1" applyAlignment="1">
      <alignment horizontal="center" vertical="center"/>
    </xf>
    <xf numFmtId="0" fontId="4" fillId="6" borderId="1" xfId="0" applyFont="1" applyFill="1" applyBorder="1" applyAlignment="1">
      <alignment horizontal="center" vertical="center" wrapText="1"/>
    </xf>
    <xf numFmtId="0" fontId="8" fillId="7" borderId="1" xfId="3" applyFont="1" applyFill="1" applyBorder="1" applyAlignment="1">
      <alignment vertical="center" wrapText="1"/>
    </xf>
    <xf numFmtId="0" fontId="7" fillId="3" borderId="1" xfId="3" applyFont="1" applyFill="1" applyBorder="1" applyAlignment="1">
      <alignment horizontal="center" wrapText="1"/>
    </xf>
    <xf numFmtId="0" fontId="7" fillId="3" borderId="5" xfId="3" applyFont="1" applyFill="1" applyBorder="1" applyAlignment="1">
      <alignment horizontal="center" wrapText="1"/>
    </xf>
    <xf numFmtId="0" fontId="7" fillId="3" borderId="8" xfId="3" applyFont="1" applyFill="1" applyBorder="1" applyAlignment="1">
      <alignment horizontal="center" wrapText="1"/>
    </xf>
    <xf numFmtId="0" fontId="8" fillId="4" borderId="5" xfId="3" applyFont="1" applyFill="1" applyBorder="1" applyAlignment="1">
      <alignment vertical="center" wrapText="1"/>
    </xf>
    <xf numFmtId="5" fontId="4" fillId="4" borderId="1" xfId="0" applyNumberFormat="1" applyFont="1" applyFill="1" applyBorder="1" applyAlignment="1">
      <alignment horizontal="center" vertical="center"/>
    </xf>
    <xf numFmtId="5" fontId="4" fillId="4" borderId="8" xfId="0" applyNumberFormat="1" applyFont="1" applyFill="1" applyBorder="1" applyAlignment="1">
      <alignment horizontal="center" vertical="center"/>
    </xf>
    <xf numFmtId="9" fontId="4" fillId="4" borderId="1" xfId="4" applyFont="1" applyFill="1" applyBorder="1" applyAlignment="1">
      <alignment horizontal="center" vertical="center" wrapText="1"/>
    </xf>
    <xf numFmtId="5" fontId="4" fillId="0" borderId="0" xfId="4" applyNumberFormat="1" applyFont="1"/>
    <xf numFmtId="5" fontId="4" fillId="4" borderId="5" xfId="0" applyNumberFormat="1" applyFont="1" applyFill="1" applyBorder="1" applyAlignment="1">
      <alignment horizontal="center" vertical="center"/>
    </xf>
    <xf numFmtId="9" fontId="4" fillId="0" borderId="0" xfId="4" applyFont="1"/>
    <xf numFmtId="0" fontId="8" fillId="5" borderId="5" xfId="3" applyFont="1" applyFill="1" applyBorder="1" applyAlignment="1">
      <alignment vertical="center" wrapText="1"/>
    </xf>
    <xf numFmtId="5" fontId="4" fillId="5" borderId="1" xfId="0" applyNumberFormat="1" applyFont="1" applyFill="1" applyBorder="1" applyAlignment="1">
      <alignment horizontal="center" vertical="center"/>
    </xf>
    <xf numFmtId="5" fontId="4" fillId="5" borderId="5" xfId="0" applyNumberFormat="1" applyFont="1" applyFill="1" applyBorder="1" applyAlignment="1">
      <alignment horizontal="center" vertical="center"/>
    </xf>
    <xf numFmtId="5" fontId="4" fillId="5" borderId="8" xfId="0" applyNumberFormat="1" applyFont="1" applyFill="1" applyBorder="1" applyAlignment="1">
      <alignment horizontal="center" vertical="center"/>
    </xf>
    <xf numFmtId="9" fontId="4" fillId="5" borderId="1" xfId="4" applyFont="1" applyFill="1" applyBorder="1" applyAlignment="1">
      <alignment horizontal="center" vertical="center" wrapText="1"/>
    </xf>
    <xf numFmtId="9" fontId="4" fillId="8" borderId="1" xfId="4" applyFont="1" applyFill="1" applyBorder="1" applyAlignment="1">
      <alignment horizontal="center" vertical="center" wrapText="1"/>
    </xf>
    <xf numFmtId="0" fontId="8" fillId="6" borderId="5" xfId="3" applyFont="1" applyFill="1" applyBorder="1" applyAlignment="1">
      <alignment vertical="center" wrapText="1"/>
    </xf>
    <xf numFmtId="5" fontId="4" fillId="6" borderId="1" xfId="0" applyNumberFormat="1" applyFont="1" applyFill="1" applyBorder="1" applyAlignment="1">
      <alignment horizontal="center" vertical="center"/>
    </xf>
    <xf numFmtId="5" fontId="4" fillId="6" borderId="5" xfId="0" applyNumberFormat="1" applyFont="1" applyFill="1" applyBorder="1" applyAlignment="1">
      <alignment horizontal="center" vertical="center"/>
    </xf>
    <xf numFmtId="5" fontId="4" fillId="6" borderId="8" xfId="0" applyNumberFormat="1" applyFont="1" applyFill="1" applyBorder="1" applyAlignment="1">
      <alignment horizontal="center" vertical="center"/>
    </xf>
    <xf numFmtId="9" fontId="4" fillId="6" borderId="1" xfId="4" applyFont="1" applyFill="1" applyBorder="1" applyAlignment="1">
      <alignment horizontal="center" vertical="center" wrapText="1"/>
    </xf>
    <xf numFmtId="0" fontId="8" fillId="7" borderId="5" xfId="3" applyFont="1" applyFill="1" applyBorder="1" applyAlignment="1">
      <alignment vertical="center" wrapText="1"/>
    </xf>
    <xf numFmtId="5" fontId="4" fillId="7" borderId="1" xfId="0" applyNumberFormat="1" applyFont="1" applyFill="1" applyBorder="1" applyAlignment="1">
      <alignment horizontal="center" vertical="center"/>
    </xf>
    <xf numFmtId="5" fontId="4" fillId="7" borderId="5" xfId="0" applyNumberFormat="1" applyFont="1" applyFill="1" applyBorder="1" applyAlignment="1">
      <alignment horizontal="center" vertical="center"/>
    </xf>
    <xf numFmtId="5" fontId="4" fillId="7" borderId="8" xfId="0" applyNumberFormat="1" applyFont="1" applyFill="1" applyBorder="1" applyAlignment="1">
      <alignment horizontal="center" vertical="center"/>
    </xf>
    <xf numFmtId="9" fontId="4" fillId="7" borderId="1" xfId="4" applyFont="1" applyFill="1" applyBorder="1" applyAlignment="1">
      <alignment horizontal="center" vertical="center" wrapText="1"/>
    </xf>
    <xf numFmtId="0" fontId="7" fillId="0" borderId="1" xfId="3" applyFont="1" applyBorder="1" applyAlignment="1">
      <alignment vertical="center" wrapText="1"/>
    </xf>
    <xf numFmtId="5" fontId="9" fillId="0" borderId="1" xfId="0" applyNumberFormat="1" applyFont="1" applyBorder="1" applyAlignment="1">
      <alignment horizontal="center" vertical="center"/>
    </xf>
    <xf numFmtId="5" fontId="9" fillId="0" borderId="5" xfId="0" applyNumberFormat="1" applyFont="1" applyBorder="1" applyAlignment="1">
      <alignment horizontal="center" vertical="center"/>
    </xf>
    <xf numFmtId="5" fontId="9" fillId="0" borderId="8" xfId="0" applyNumberFormat="1" applyFont="1" applyBorder="1" applyAlignment="1">
      <alignment horizontal="center" vertical="center"/>
    </xf>
    <xf numFmtId="9" fontId="9" fillId="0" borderId="1" xfId="4" applyFont="1" applyBorder="1" applyAlignment="1">
      <alignment horizontal="center" vertical="center" wrapText="1"/>
    </xf>
    <xf numFmtId="5" fontId="9" fillId="0" borderId="9" xfId="0" applyNumberFormat="1" applyFont="1" applyBorder="1" applyAlignment="1">
      <alignment horizontal="center" vertical="center"/>
    </xf>
    <xf numFmtId="5" fontId="9" fillId="0" borderId="7" xfId="0" applyNumberFormat="1" applyFont="1" applyBorder="1" applyAlignment="1">
      <alignment horizontal="center" vertical="center"/>
    </xf>
    <xf numFmtId="0" fontId="0" fillId="0" borderId="0" xfId="0" applyAlignment="1">
      <alignment horizontal="right"/>
    </xf>
    <xf numFmtId="9" fontId="0" fillId="0" borderId="0" xfId="0" applyNumberFormat="1"/>
    <xf numFmtId="5" fontId="0" fillId="0" borderId="0" xfId="0" applyNumberFormat="1"/>
    <xf numFmtId="165" fontId="4" fillId="4" borderId="1" xfId="0" applyNumberFormat="1" applyFont="1" applyFill="1" applyBorder="1" applyAlignment="1">
      <alignment horizontal="center" vertical="center"/>
    </xf>
    <xf numFmtId="165" fontId="4" fillId="4" borderId="8" xfId="0" applyNumberFormat="1" applyFont="1" applyFill="1" applyBorder="1" applyAlignment="1">
      <alignment horizontal="center" vertical="center"/>
    </xf>
    <xf numFmtId="165" fontId="4" fillId="4" borderId="5" xfId="0" applyNumberFormat="1" applyFont="1" applyFill="1" applyBorder="1" applyAlignment="1">
      <alignment horizontal="center" vertical="center"/>
    </xf>
    <xf numFmtId="165" fontId="4" fillId="5" borderId="1" xfId="0" applyNumberFormat="1" applyFont="1" applyFill="1" applyBorder="1" applyAlignment="1">
      <alignment horizontal="center" vertical="center"/>
    </xf>
    <xf numFmtId="165" fontId="4" fillId="5" borderId="5" xfId="0" applyNumberFormat="1" applyFont="1" applyFill="1" applyBorder="1" applyAlignment="1">
      <alignment horizontal="center" vertical="center"/>
    </xf>
    <xf numFmtId="165" fontId="4" fillId="5" borderId="8" xfId="0" applyNumberFormat="1" applyFont="1" applyFill="1" applyBorder="1" applyAlignment="1">
      <alignment horizontal="center" vertical="center"/>
    </xf>
    <xf numFmtId="165" fontId="4" fillId="6" borderId="1" xfId="0" applyNumberFormat="1" applyFont="1" applyFill="1" applyBorder="1" applyAlignment="1">
      <alignment horizontal="center" vertical="center"/>
    </xf>
    <xf numFmtId="165" fontId="4" fillId="6" borderId="5" xfId="0" applyNumberFormat="1" applyFont="1" applyFill="1" applyBorder="1" applyAlignment="1">
      <alignment horizontal="center" vertical="center"/>
    </xf>
    <xf numFmtId="165" fontId="4" fillId="6" borderId="8" xfId="0" applyNumberFormat="1" applyFont="1" applyFill="1" applyBorder="1" applyAlignment="1">
      <alignment horizontal="center" vertical="center"/>
    </xf>
    <xf numFmtId="165" fontId="4" fillId="7" borderId="1" xfId="0" applyNumberFormat="1" applyFont="1" applyFill="1" applyBorder="1" applyAlignment="1">
      <alignment horizontal="center" vertical="center"/>
    </xf>
    <xf numFmtId="165" fontId="4" fillId="7" borderId="5" xfId="0" applyNumberFormat="1" applyFont="1" applyFill="1" applyBorder="1" applyAlignment="1">
      <alignment horizontal="center" vertical="center"/>
    </xf>
    <xf numFmtId="165" fontId="4" fillId="7" borderId="8" xfId="0" applyNumberFormat="1" applyFont="1" applyFill="1" applyBorder="1" applyAlignment="1">
      <alignment horizontal="center" vertical="center"/>
    </xf>
    <xf numFmtId="165" fontId="9" fillId="0" borderId="1" xfId="0" applyNumberFormat="1" applyFont="1" applyBorder="1" applyAlignment="1">
      <alignment horizontal="center" vertical="center"/>
    </xf>
    <xf numFmtId="165" fontId="9" fillId="0" borderId="5" xfId="0" applyNumberFormat="1" applyFont="1" applyBorder="1" applyAlignment="1">
      <alignment horizontal="center" vertical="center"/>
    </xf>
    <xf numFmtId="165" fontId="9" fillId="0" borderId="8" xfId="0" applyNumberFormat="1" applyFont="1" applyBorder="1" applyAlignment="1">
      <alignment horizontal="center" vertical="center"/>
    </xf>
    <xf numFmtId="0" fontId="2" fillId="0" borderId="0" xfId="0" applyFont="1"/>
    <xf numFmtId="0" fontId="2" fillId="0" borderId="0" xfId="0" applyFont="1" applyAlignment="1">
      <alignment horizontal="right"/>
    </xf>
    <xf numFmtId="165" fontId="0" fillId="0" borderId="0" xfId="0" applyNumberFormat="1"/>
    <xf numFmtId="165" fontId="0" fillId="0" borderId="0" xfId="0" applyNumberFormat="1" applyAlignment="1">
      <alignment horizontal="right"/>
    </xf>
    <xf numFmtId="5" fontId="0" fillId="0" borderId="0" xfId="0" applyNumberFormat="1" applyAlignment="1">
      <alignment horizontal="right"/>
    </xf>
    <xf numFmtId="0" fontId="10" fillId="0" borderId="0" xfId="0" applyFont="1"/>
    <xf numFmtId="0" fontId="10" fillId="0" borderId="0" xfId="0" applyFont="1" applyAlignment="1">
      <alignment horizontal="center"/>
    </xf>
    <xf numFmtId="0" fontId="11" fillId="0" borderId="0" xfId="0" applyFont="1"/>
    <xf numFmtId="0" fontId="12" fillId="0" borderId="0" xfId="0" applyFont="1"/>
    <xf numFmtId="5" fontId="3" fillId="0" borderId="10" xfId="0" applyNumberFormat="1" applyFont="1" applyBorder="1" applyAlignment="1">
      <alignment horizontal="center"/>
    </xf>
    <xf numFmtId="0" fontId="10" fillId="0" borderId="10" xfId="0" applyFont="1" applyBorder="1" applyAlignment="1">
      <alignment horizontal="center"/>
    </xf>
    <xf numFmtId="5" fontId="10" fillId="0" borderId="6" xfId="0" applyNumberFormat="1" applyFont="1" applyBorder="1" applyAlignment="1">
      <alignment horizontal="center"/>
    </xf>
    <xf numFmtId="5" fontId="3" fillId="0" borderId="6" xfId="0" applyNumberFormat="1" applyFont="1" applyBorder="1" applyAlignment="1">
      <alignment horizontal="center"/>
    </xf>
    <xf numFmtId="9" fontId="10" fillId="0" borderId="6" xfId="4" applyFont="1" applyBorder="1" applyAlignment="1">
      <alignment horizontal="center"/>
    </xf>
    <xf numFmtId="5" fontId="10" fillId="0" borderId="11" xfId="0" applyNumberFormat="1" applyFont="1" applyBorder="1" applyAlignment="1">
      <alignment horizontal="center"/>
    </xf>
    <xf numFmtId="5" fontId="3" fillId="0" borderId="11" xfId="0" applyNumberFormat="1" applyFont="1" applyBorder="1" applyAlignment="1">
      <alignment horizontal="center"/>
    </xf>
    <xf numFmtId="9" fontId="10" fillId="0" borderId="11" xfId="4" applyFont="1" applyBorder="1" applyAlignment="1">
      <alignment horizontal="center"/>
    </xf>
    <xf numFmtId="0" fontId="3" fillId="0" borderId="10" xfId="0" applyFont="1" applyBorder="1" applyAlignment="1">
      <alignment horizontal="right"/>
    </xf>
    <xf numFmtId="0" fontId="3" fillId="0" borderId="6" xfId="0" applyFont="1" applyBorder="1" applyAlignment="1">
      <alignment horizontal="right"/>
    </xf>
    <xf numFmtId="0" fontId="3" fillId="0" borderId="11" xfId="0" applyFont="1" applyBorder="1" applyAlignment="1">
      <alignment horizontal="right"/>
    </xf>
    <xf numFmtId="0" fontId="13" fillId="9" borderId="1" xfId="0" applyFont="1" applyFill="1" applyBorder="1"/>
    <xf numFmtId="5" fontId="13" fillId="9" borderId="13" xfId="0" applyNumberFormat="1" applyFont="1" applyFill="1" applyBorder="1"/>
    <xf numFmtId="10" fontId="12" fillId="0" borderId="14" xfId="0" applyNumberFormat="1" applyFont="1" applyBorder="1" applyAlignment="1">
      <alignment vertical="center"/>
    </xf>
    <xf numFmtId="164" fontId="12" fillId="0" borderId="4" xfId="1" applyNumberFormat="1" applyFont="1" applyBorder="1"/>
    <xf numFmtId="0" fontId="4" fillId="0" borderId="1" xfId="0" applyFont="1" applyBorder="1"/>
    <xf numFmtId="164" fontId="12" fillId="0" borderId="1" xfId="1" applyNumberFormat="1" applyFont="1" applyBorder="1"/>
    <xf numFmtId="164" fontId="12" fillId="0" borderId="1" xfId="1" applyNumberFormat="1" applyFont="1" applyFill="1" applyBorder="1"/>
    <xf numFmtId="0" fontId="9" fillId="0" borderId="15" xfId="0" applyFont="1" applyBorder="1"/>
    <xf numFmtId="10" fontId="9" fillId="0" borderId="15" xfId="0" applyNumberFormat="1" applyFont="1" applyBorder="1"/>
    <xf numFmtId="164" fontId="9" fillId="0" borderId="15" xfId="0" applyNumberFormat="1" applyFont="1" applyBorder="1"/>
    <xf numFmtId="0" fontId="10" fillId="0" borderId="0" xfId="0" applyFont="1" applyAlignment="1">
      <alignment horizontal="center" wrapText="1"/>
    </xf>
    <xf numFmtId="0" fontId="14" fillId="0" borderId="0" xfId="0" applyFont="1"/>
    <xf numFmtId="0" fontId="12" fillId="0" borderId="4" xfId="0" applyFont="1" applyBorder="1"/>
    <xf numFmtId="10" fontId="12" fillId="0" borderId="4" xfId="4" applyNumberFormat="1" applyFont="1" applyBorder="1"/>
    <xf numFmtId="164" fontId="12" fillId="0" borderId="4" xfId="1" applyNumberFormat="1" applyFont="1" applyFill="1" applyBorder="1"/>
    <xf numFmtId="0" fontId="12" fillId="0" borderId="1" xfId="0" applyFont="1" applyBorder="1"/>
    <xf numFmtId="10" fontId="12" fillId="0" borderId="1" xfId="4" applyNumberFormat="1" applyFont="1" applyBorder="1"/>
    <xf numFmtId="0" fontId="12" fillId="0" borderId="2" xfId="0" applyFont="1" applyBorder="1"/>
    <xf numFmtId="10" fontId="12" fillId="0" borderId="2" xfId="4" applyNumberFormat="1" applyFont="1" applyBorder="1"/>
    <xf numFmtId="164" fontId="12" fillId="0" borderId="2" xfId="1" applyNumberFormat="1" applyFont="1" applyFill="1" applyBorder="1"/>
    <xf numFmtId="164" fontId="12" fillId="0" borderId="2" xfId="1" applyNumberFormat="1" applyFont="1" applyBorder="1"/>
    <xf numFmtId="164" fontId="9" fillId="0" borderId="15" xfId="1" applyNumberFormat="1" applyFont="1" applyBorder="1"/>
    <xf numFmtId="0" fontId="13" fillId="9" borderId="1" xfId="0" applyFont="1" applyFill="1" applyBorder="1" applyAlignment="1">
      <alignment horizontal="right"/>
    </xf>
    <xf numFmtId="0" fontId="4" fillId="0" borderId="12" xfId="0" applyFont="1" applyBorder="1"/>
    <xf numFmtId="0" fontId="4" fillId="0" borderId="4" xfId="0" applyFont="1" applyBorder="1"/>
    <xf numFmtId="0" fontId="3" fillId="0" borderId="0" xfId="0" applyFont="1" applyAlignment="1">
      <alignment horizontal="left"/>
    </xf>
    <xf numFmtId="10" fontId="12" fillId="0" borderId="5" xfId="0" applyNumberFormat="1" applyFont="1" applyBorder="1" applyAlignment="1">
      <alignment vertical="center"/>
    </xf>
    <xf numFmtId="10" fontId="12" fillId="0" borderId="17" xfId="0" applyNumberFormat="1" applyFont="1" applyBorder="1" applyAlignment="1">
      <alignment vertical="center"/>
    </xf>
    <xf numFmtId="164" fontId="12" fillId="0" borderId="3" xfId="1" applyNumberFormat="1" applyFont="1" applyBorder="1"/>
    <xf numFmtId="0" fontId="4" fillId="0" borderId="13" xfId="0" applyFont="1" applyBorder="1"/>
    <xf numFmtId="10" fontId="12" fillId="0" borderId="12" xfId="0" applyNumberFormat="1" applyFont="1" applyBorder="1" applyAlignment="1">
      <alignment vertical="center"/>
    </xf>
    <xf numFmtId="10" fontId="12" fillId="0" borderId="1" xfId="0" applyNumberFormat="1" applyFont="1" applyBorder="1" applyAlignment="1">
      <alignment vertical="center"/>
    </xf>
    <xf numFmtId="10" fontId="12" fillId="0" borderId="1" xfId="4" applyNumberFormat="1" applyFont="1" applyFill="1" applyBorder="1"/>
    <xf numFmtId="10" fontId="12" fillId="0" borderId="13" xfId="4" applyNumberFormat="1" applyFont="1" applyFill="1" applyBorder="1"/>
    <xf numFmtId="0" fontId="10" fillId="10" borderId="0" xfId="0" applyFont="1" applyFill="1" applyAlignment="1">
      <alignment horizontal="center"/>
    </xf>
    <xf numFmtId="0" fontId="10" fillId="10" borderId="0" xfId="0" applyFont="1" applyFill="1" applyAlignment="1">
      <alignment horizontal="center" wrapText="1"/>
    </xf>
    <xf numFmtId="0" fontId="3" fillId="0" borderId="18" xfId="0" applyFont="1" applyBorder="1" applyAlignment="1">
      <alignment horizontal="right"/>
    </xf>
    <xf numFmtId="0" fontId="3" fillId="0" borderId="19" xfId="0" applyFont="1" applyBorder="1" applyAlignment="1">
      <alignment horizontal="right"/>
    </xf>
    <xf numFmtId="5" fontId="10" fillId="0" borderId="19" xfId="0" applyNumberFormat="1" applyFont="1" applyBorder="1" applyAlignment="1">
      <alignment horizontal="center"/>
    </xf>
    <xf numFmtId="5" fontId="3" fillId="0" borderId="19" xfId="0" applyNumberFormat="1" applyFont="1" applyBorder="1" applyAlignment="1">
      <alignment horizontal="center"/>
    </xf>
    <xf numFmtId="9" fontId="10" fillId="0" borderId="19" xfId="4" applyFont="1" applyBorder="1" applyAlignment="1">
      <alignment horizontal="center"/>
    </xf>
    <xf numFmtId="5" fontId="3" fillId="0" borderId="18" xfId="0" applyNumberFormat="1" applyFont="1" applyBorder="1" applyAlignment="1">
      <alignment horizontal="right"/>
    </xf>
    <xf numFmtId="0" fontId="10" fillId="12" borderId="19" xfId="0" applyFont="1" applyFill="1" applyBorder="1" applyAlignment="1">
      <alignment horizontal="center"/>
    </xf>
    <xf numFmtId="0" fontId="10" fillId="6" borderId="19" xfId="0" applyFont="1" applyFill="1" applyBorder="1" applyAlignment="1">
      <alignment horizontal="center"/>
    </xf>
    <xf numFmtId="9" fontId="10" fillId="0" borderId="19" xfId="2" applyFont="1" applyBorder="1" applyAlignment="1">
      <alignment horizontal="center"/>
    </xf>
    <xf numFmtId="9" fontId="3" fillId="0" borderId="18" xfId="2" applyFont="1" applyBorder="1" applyAlignment="1">
      <alignment horizontal="center"/>
    </xf>
    <xf numFmtId="0" fontId="17" fillId="5" borderId="0" xfId="3" applyFont="1" applyFill="1"/>
    <xf numFmtId="164" fontId="4" fillId="5" borderId="0" xfId="6" applyNumberFormat="1" applyFont="1" applyFill="1"/>
    <xf numFmtId="0" fontId="17" fillId="0" borderId="0" xfId="3" applyFont="1"/>
    <xf numFmtId="0" fontId="18" fillId="0" borderId="0" xfId="3" applyFont="1"/>
    <xf numFmtId="166" fontId="4" fillId="13" borderId="5" xfId="7" applyNumberFormat="1" applyFont="1" applyFill="1" applyBorder="1"/>
    <xf numFmtId="0" fontId="17" fillId="13" borderId="7" xfId="3" applyFont="1" applyFill="1" applyBorder="1"/>
    <xf numFmtId="0" fontId="18" fillId="14" borderId="1" xfId="3" applyFont="1" applyFill="1" applyBorder="1" applyAlignment="1">
      <alignment wrapText="1"/>
    </xf>
    <xf numFmtId="0" fontId="17" fillId="0" borderId="1" xfId="3" applyFont="1" applyBorder="1"/>
    <xf numFmtId="9" fontId="17" fillId="0" borderId="1" xfId="3" applyNumberFormat="1" applyFont="1" applyBorder="1"/>
    <xf numFmtId="9" fontId="17" fillId="0" borderId="1" xfId="4" applyFont="1" applyFill="1" applyBorder="1"/>
    <xf numFmtId="9" fontId="17" fillId="0" borderId="1" xfId="4" applyFont="1" applyBorder="1"/>
    <xf numFmtId="9" fontId="17" fillId="11" borderId="1" xfId="3" applyNumberFormat="1" applyFont="1" applyFill="1" applyBorder="1"/>
    <xf numFmtId="0" fontId="17" fillId="3" borderId="1" xfId="3" applyFont="1" applyFill="1" applyBorder="1"/>
    <xf numFmtId="9" fontId="17" fillId="3" borderId="1" xfId="3" applyNumberFormat="1" applyFont="1" applyFill="1" applyBorder="1"/>
    <xf numFmtId="0" fontId="18" fillId="13" borderId="4" xfId="3" applyFont="1" applyFill="1" applyBorder="1"/>
    <xf numFmtId="166" fontId="18" fillId="13" borderId="1" xfId="7" applyNumberFormat="1" applyFont="1" applyFill="1" applyBorder="1"/>
    <xf numFmtId="164" fontId="4" fillId="0" borderId="0" xfId="6" applyNumberFormat="1" applyFont="1" applyFill="1"/>
    <xf numFmtId="0" fontId="18" fillId="13" borderId="1" xfId="3" applyFont="1" applyFill="1" applyBorder="1"/>
    <xf numFmtId="0" fontId="16" fillId="0" borderId="0" xfId="0" applyFont="1"/>
    <xf numFmtId="0" fontId="16" fillId="0" borderId="0" xfId="0" applyFont="1" applyAlignment="1">
      <alignment horizontal="center"/>
    </xf>
    <xf numFmtId="0" fontId="19" fillId="0" borderId="0" xfId="0" applyFont="1"/>
    <xf numFmtId="0" fontId="19" fillId="0" borderId="0" xfId="0" applyFont="1" applyAlignment="1">
      <alignment wrapText="1"/>
    </xf>
    <xf numFmtId="164" fontId="14" fillId="0" borderId="0" xfId="1" applyNumberFormat="1" applyFont="1"/>
    <xf numFmtId="164" fontId="14" fillId="0" borderId="0" xfId="0" applyNumberFormat="1" applyFont="1"/>
    <xf numFmtId="164" fontId="14" fillId="0" borderId="0" xfId="1" applyNumberFormat="1" applyFont="1" applyFill="1"/>
    <xf numFmtId="44" fontId="14" fillId="0" borderId="0" xfId="0" applyNumberFormat="1" applyFont="1"/>
    <xf numFmtId="0" fontId="18" fillId="0" borderId="0" xfId="0" applyFont="1"/>
    <xf numFmtId="0" fontId="18" fillId="0" borderId="0" xfId="0" applyFont="1" applyAlignment="1">
      <alignment horizontal="center"/>
    </xf>
    <xf numFmtId="0" fontId="17" fillId="0" borderId="0" xfId="0" applyFont="1"/>
    <xf numFmtId="0" fontId="20" fillId="0" borderId="0" xfId="0" applyFont="1" applyAlignment="1">
      <alignment horizontal="left"/>
    </xf>
    <xf numFmtId="0" fontId="21" fillId="0" borderId="0" xfId="0" applyFont="1"/>
    <xf numFmtId="14" fontId="4" fillId="0" borderId="0" xfId="0" applyNumberFormat="1" applyFont="1"/>
    <xf numFmtId="167" fontId="21" fillId="0" borderId="0" xfId="0" applyNumberFormat="1" applyFont="1"/>
    <xf numFmtId="0" fontId="17" fillId="0" borderId="0" xfId="0" applyFont="1" applyAlignment="1">
      <alignment horizontal="center"/>
    </xf>
    <xf numFmtId="0" fontId="20" fillId="0" borderId="0" xfId="0" applyFont="1" applyAlignment="1">
      <alignment horizontal="left" vertical="top" wrapText="1"/>
    </xf>
    <xf numFmtId="49" fontId="4" fillId="0" borderId="0" xfId="0" applyNumberFormat="1" applyFont="1"/>
    <xf numFmtId="0" fontId="22" fillId="0" borderId="0" xfId="0" applyFont="1" applyAlignment="1">
      <alignment horizontal="left" vertical="top" wrapText="1"/>
    </xf>
    <xf numFmtId="14" fontId="21" fillId="0" borderId="0" xfId="0" applyNumberFormat="1" applyFont="1"/>
    <xf numFmtId="0" fontId="22" fillId="0" borderId="0" xfId="0" applyFont="1" applyAlignment="1">
      <alignment horizontal="left"/>
    </xf>
    <xf numFmtId="0" fontId="4" fillId="0" borderId="0" xfId="0" applyFont="1" applyAlignment="1">
      <alignment horizontal="center"/>
    </xf>
    <xf numFmtId="0" fontId="23" fillId="0" borderId="0" xfId="0" applyFont="1"/>
    <xf numFmtId="6" fontId="0" fillId="0" borderId="0" xfId="0" applyNumberFormat="1"/>
    <xf numFmtId="9" fontId="0" fillId="0" borderId="0" xfId="4" applyFont="1"/>
    <xf numFmtId="0" fontId="4" fillId="3" borderId="0" xfId="0" applyFont="1" applyFill="1" applyAlignment="1">
      <alignment horizontal="right"/>
    </xf>
    <xf numFmtId="10" fontId="4" fillId="3" borderId="0" xfId="0" applyNumberFormat="1" applyFont="1" applyFill="1"/>
    <xf numFmtId="44" fontId="4" fillId="0" borderId="0" xfId="0" applyNumberFormat="1" applyFont="1"/>
    <xf numFmtId="0" fontId="24" fillId="0" borderId="0" xfId="0" applyFont="1" applyAlignment="1">
      <alignment horizontal="right"/>
    </xf>
    <xf numFmtId="164" fontId="24" fillId="0" borderId="0" xfId="0" applyNumberFormat="1" applyFont="1"/>
    <xf numFmtId="164" fontId="24" fillId="0" borderId="0" xfId="1" applyNumberFormat="1" applyFont="1"/>
    <xf numFmtId="0" fontId="12" fillId="0" borderId="0" xfId="0" applyFont="1" applyAlignment="1">
      <alignment horizontal="right"/>
    </xf>
    <xf numFmtId="10" fontId="4" fillId="0" borderId="0" xfId="2" applyNumberFormat="1" applyFont="1"/>
    <xf numFmtId="5" fontId="24" fillId="0" borderId="0" xfId="0" applyNumberFormat="1" applyFont="1"/>
    <xf numFmtId="164" fontId="25" fillId="0" borderId="0" xfId="0" applyNumberFormat="1" applyFont="1"/>
    <xf numFmtId="9" fontId="4" fillId="0" borderId="0" xfId="2" applyFont="1"/>
    <xf numFmtId="164" fontId="4" fillId="0" borderId="0" xfId="0" applyNumberFormat="1" applyFont="1"/>
    <xf numFmtId="164" fontId="3" fillId="0" borderId="23" xfId="0" applyNumberFormat="1" applyFont="1" applyBorder="1"/>
    <xf numFmtId="168" fontId="4" fillId="0" borderId="0" xfId="0" applyNumberFormat="1" applyFont="1"/>
    <xf numFmtId="44" fontId="4" fillId="0" borderId="0" xfId="1" applyFont="1"/>
    <xf numFmtId="169" fontId="4" fillId="0" borderId="0" xfId="0" applyNumberFormat="1" applyFont="1"/>
    <xf numFmtId="164" fontId="4" fillId="0" borderId="0" xfId="1" applyNumberFormat="1" applyFont="1"/>
    <xf numFmtId="10" fontId="4" fillId="0" borderId="0" xfId="0" applyNumberFormat="1" applyFont="1"/>
    <xf numFmtId="44" fontId="17" fillId="0" borderId="0" xfId="3" applyNumberFormat="1" applyFont="1"/>
    <xf numFmtId="164" fontId="0" fillId="0" borderId="0" xfId="0" applyNumberFormat="1"/>
    <xf numFmtId="0" fontId="4" fillId="7" borderId="0" xfId="0" applyFont="1" applyFill="1" applyAlignment="1">
      <alignment wrapText="1"/>
    </xf>
    <xf numFmtId="0" fontId="26" fillId="0" borderId="0" xfId="3" applyFont="1"/>
    <xf numFmtId="165" fontId="3" fillId="0" borderId="23" xfId="0" applyNumberFormat="1" applyFont="1" applyBorder="1" applyAlignment="1">
      <alignment horizontal="left"/>
    </xf>
    <xf numFmtId="0" fontId="27" fillId="0" borderId="1" xfId="5" applyFont="1" applyBorder="1" applyAlignment="1">
      <alignment vertical="center"/>
    </xf>
    <xf numFmtId="0" fontId="27" fillId="0" borderId="1" xfId="5" applyFont="1" applyBorder="1" applyAlignment="1">
      <alignment vertical="center" wrapText="1"/>
    </xf>
    <xf numFmtId="0" fontId="18" fillId="7" borderId="0" xfId="0" applyFont="1" applyFill="1" applyAlignment="1">
      <alignment horizontal="center"/>
    </xf>
    <xf numFmtId="0" fontId="14" fillId="7" borderId="0" xfId="0" applyFont="1" applyFill="1"/>
    <xf numFmtId="0" fontId="18" fillId="7" borderId="0" xfId="0" applyFont="1" applyFill="1"/>
    <xf numFmtId="0" fontId="18" fillId="0" borderId="0" xfId="0" applyFont="1" applyAlignment="1">
      <alignment wrapText="1"/>
    </xf>
    <xf numFmtId="167" fontId="21" fillId="10" borderId="0" xfId="0" applyNumberFormat="1" applyFont="1" applyFill="1"/>
    <xf numFmtId="165" fontId="4" fillId="0" borderId="0" xfId="0" applyNumberFormat="1" applyFont="1"/>
    <xf numFmtId="2" fontId="4" fillId="0" borderId="0" xfId="0" applyNumberFormat="1" applyFont="1"/>
    <xf numFmtId="0" fontId="9" fillId="2" borderId="0" xfId="0" applyFont="1" applyFill="1"/>
    <xf numFmtId="0" fontId="4" fillId="2" borderId="0" xfId="0" applyFont="1" applyFill="1"/>
    <xf numFmtId="5" fontId="4" fillId="0" borderId="0" xfId="0" applyNumberFormat="1" applyFont="1"/>
    <xf numFmtId="5" fontId="4" fillId="0" borderId="0" xfId="1" applyNumberFormat="1" applyFont="1" applyAlignment="1">
      <alignment horizontal="center" vertical="center"/>
    </xf>
    <xf numFmtId="0" fontId="4" fillId="0" borderId="0" xfId="0" applyFont="1" applyAlignment="1">
      <alignment horizontal="right"/>
    </xf>
    <xf numFmtId="0" fontId="4" fillId="19" borderId="0" xfId="0" applyFont="1" applyFill="1"/>
    <xf numFmtId="172" fontId="4" fillId="0" borderId="0" xfId="0" applyNumberFormat="1" applyFont="1"/>
    <xf numFmtId="0" fontId="9" fillId="2" borderId="17" xfId="0" applyFont="1" applyFill="1" applyBorder="1" applyAlignment="1">
      <alignment wrapText="1"/>
    </xf>
    <xf numFmtId="0" fontId="9" fillId="2" borderId="28" xfId="0" applyFont="1" applyFill="1" applyBorder="1" applyAlignment="1">
      <alignment wrapText="1"/>
    </xf>
    <xf numFmtId="0" fontId="9" fillId="2" borderId="29" xfId="0" applyFont="1" applyFill="1" applyBorder="1" applyAlignment="1">
      <alignment wrapText="1"/>
    </xf>
    <xf numFmtId="9" fontId="4" fillId="0" borderId="30" xfId="0" applyNumberFormat="1" applyFont="1" applyBorder="1"/>
    <xf numFmtId="1" fontId="4" fillId="0" borderId="0" xfId="0" applyNumberFormat="1" applyFont="1"/>
    <xf numFmtId="1" fontId="4" fillId="0" borderId="31" xfId="0" applyNumberFormat="1" applyFont="1" applyBorder="1"/>
    <xf numFmtId="0" fontId="28" fillId="0" borderId="0" xfId="0" applyFont="1"/>
    <xf numFmtId="0" fontId="29" fillId="0" borderId="0" xfId="0" applyFont="1"/>
    <xf numFmtId="0" fontId="30" fillId="0" borderId="0" xfId="0" applyFont="1"/>
    <xf numFmtId="165" fontId="17" fillId="0" borderId="0" xfId="0" applyNumberFormat="1" applyFont="1"/>
    <xf numFmtId="9" fontId="17" fillId="0" borderId="0" xfId="2" applyFont="1"/>
    <xf numFmtId="173" fontId="17" fillId="0" borderId="0" xfId="0" applyNumberFormat="1" applyFont="1"/>
    <xf numFmtId="164" fontId="31" fillId="0" borderId="0" xfId="1" applyNumberFormat="1" applyFont="1"/>
    <xf numFmtId="164" fontId="29" fillId="0" borderId="0" xfId="1" applyNumberFormat="1" applyFont="1"/>
    <xf numFmtId="164" fontId="32" fillId="0" borderId="0" xfId="1" applyNumberFormat="1" applyFont="1"/>
    <xf numFmtId="5" fontId="17" fillId="0" borderId="0" xfId="0" applyNumberFormat="1" applyFont="1"/>
    <xf numFmtId="7" fontId="17" fillId="0" borderId="0" xfId="0" applyNumberFormat="1" applyFont="1"/>
    <xf numFmtId="174" fontId="4" fillId="0" borderId="31" xfId="0" applyNumberFormat="1" applyFont="1" applyBorder="1"/>
    <xf numFmtId="165" fontId="16" fillId="0" borderId="0" xfId="1" applyNumberFormat="1" applyFont="1" applyFill="1"/>
    <xf numFmtId="0" fontId="31" fillId="0" borderId="0" xfId="0" applyFont="1"/>
    <xf numFmtId="9" fontId="4" fillId="0" borderId="14" xfId="0" applyNumberFormat="1" applyFont="1" applyBorder="1"/>
    <xf numFmtId="1" fontId="4" fillId="0" borderId="19" xfId="0" applyNumberFormat="1" applyFont="1" applyBorder="1"/>
    <xf numFmtId="0" fontId="4" fillId="0" borderId="19" xfId="0" applyFont="1" applyBorder="1"/>
    <xf numFmtId="174" fontId="4" fillId="0" borderId="32" xfId="0" applyNumberFormat="1" applyFont="1" applyBorder="1"/>
    <xf numFmtId="173" fontId="16" fillId="0" borderId="0" xfId="0" applyNumberFormat="1" applyFont="1"/>
    <xf numFmtId="175" fontId="16" fillId="0" borderId="0" xfId="0" applyNumberFormat="1" applyFont="1"/>
    <xf numFmtId="0" fontId="4" fillId="0" borderId="1" xfId="0" applyFont="1" applyBorder="1" applyAlignment="1">
      <alignment horizontal="center"/>
    </xf>
    <xf numFmtId="0" fontId="4" fillId="0" borderId="1" xfId="0" applyFont="1" applyBorder="1" applyAlignment="1">
      <alignment horizontal="left"/>
    </xf>
    <xf numFmtId="0" fontId="4" fillId="20" borderId="1" xfId="0" applyFont="1" applyFill="1" applyBorder="1" applyAlignment="1">
      <alignment horizontal="center"/>
    </xf>
    <xf numFmtId="0" fontId="4" fillId="21" borderId="1" xfId="0" applyFont="1" applyFill="1" applyBorder="1" applyAlignment="1">
      <alignment horizontal="center"/>
    </xf>
    <xf numFmtId="9" fontId="4" fillId="0" borderId="1" xfId="9" applyFont="1" applyBorder="1" applyAlignment="1">
      <alignment horizontal="center"/>
    </xf>
    <xf numFmtId="173" fontId="19" fillId="0" borderId="0" xfId="0" applyNumberFormat="1" applyFont="1"/>
    <xf numFmtId="173" fontId="16" fillId="0" borderId="0" xfId="2" applyNumberFormat="1" applyFont="1" applyFill="1"/>
    <xf numFmtId="170" fontId="17" fillId="0" borderId="0" xfId="0" applyNumberFormat="1" applyFont="1"/>
    <xf numFmtId="165" fontId="19" fillId="0" borderId="0" xfId="1" applyNumberFormat="1" applyFont="1" applyFill="1"/>
    <xf numFmtId="165" fontId="16" fillId="0" borderId="0" xfId="0" applyNumberFormat="1" applyFont="1"/>
    <xf numFmtId="171" fontId="17" fillId="0" borderId="0" xfId="0" applyNumberFormat="1" applyFont="1"/>
    <xf numFmtId="165" fontId="19" fillId="0" borderId="0" xfId="0" applyNumberFormat="1" applyFont="1"/>
    <xf numFmtId="172" fontId="17" fillId="0" borderId="0" xfId="0" applyNumberFormat="1" applyFont="1"/>
    <xf numFmtId="0" fontId="26" fillId="0" borderId="0" xfId="0" applyFont="1"/>
    <xf numFmtId="5" fontId="26" fillId="0" borderId="0" xfId="0" applyNumberFormat="1" applyFont="1"/>
    <xf numFmtId="5" fontId="18" fillId="0" borderId="0" xfId="0" applyNumberFormat="1" applyFont="1"/>
    <xf numFmtId="170" fontId="4" fillId="0" borderId="0" xfId="0" applyNumberFormat="1" applyFont="1"/>
    <xf numFmtId="0" fontId="0" fillId="0" borderId="1" xfId="0" applyBorder="1"/>
    <xf numFmtId="174" fontId="0" fillId="0" borderId="1" xfId="0" applyNumberFormat="1" applyBorder="1"/>
    <xf numFmtId="170" fontId="0" fillId="0" borderId="0" xfId="0" applyNumberFormat="1"/>
    <xf numFmtId="5" fontId="0" fillId="0" borderId="1" xfId="0" applyNumberFormat="1" applyBorder="1"/>
    <xf numFmtId="0" fontId="0" fillId="3" borderId="1" xfId="0" applyFill="1" applyBorder="1" applyAlignment="1">
      <alignment horizontal="right" wrapText="1"/>
    </xf>
    <xf numFmtId="0" fontId="0" fillId="3" borderId="1" xfId="0" applyFill="1" applyBorder="1" applyAlignment="1">
      <alignment horizontal="center" wrapText="1"/>
    </xf>
    <xf numFmtId="0" fontId="2" fillId="3" borderId="1" xfId="0" applyFont="1" applyFill="1" applyBorder="1" applyAlignment="1">
      <alignment horizontal="right" wrapText="1"/>
    </xf>
    <xf numFmtId="0" fontId="2" fillId="3" borderId="1" xfId="0" applyFont="1" applyFill="1" applyBorder="1" applyAlignment="1">
      <alignment horizontal="center" wrapText="1"/>
    </xf>
    <xf numFmtId="0" fontId="2" fillId="10" borderId="1" xfId="0" applyFont="1" applyFill="1" applyBorder="1" applyAlignment="1">
      <alignment horizontal="right"/>
    </xf>
    <xf numFmtId="9" fontId="2" fillId="10" borderId="1" xfId="2" applyFont="1" applyFill="1" applyBorder="1"/>
    <xf numFmtId="5" fontId="0" fillId="22" borderId="1" xfId="0" applyNumberFormat="1" applyFill="1" applyBorder="1"/>
    <xf numFmtId="5" fontId="4" fillId="0" borderId="0" xfId="2" applyNumberFormat="1" applyFont="1" applyAlignment="1">
      <alignment horizontal="left"/>
    </xf>
    <xf numFmtId="2" fontId="4" fillId="0" borderId="0" xfId="4" applyNumberFormat="1" applyFont="1"/>
    <xf numFmtId="9" fontId="34" fillId="0" borderId="0" xfId="0" applyNumberFormat="1" applyFont="1"/>
    <xf numFmtId="5" fontId="34" fillId="0" borderId="0" xfId="4" applyNumberFormat="1" applyFont="1"/>
    <xf numFmtId="5" fontId="34" fillId="0" borderId="0" xfId="0" applyNumberFormat="1" applyFont="1"/>
    <xf numFmtId="9" fontId="34" fillId="0" borderId="0" xfId="4" applyFont="1"/>
    <xf numFmtId="0" fontId="34" fillId="0" borderId="0" xfId="0" applyFont="1"/>
    <xf numFmtId="0" fontId="35" fillId="0" borderId="0" xfId="0" applyFont="1"/>
    <xf numFmtId="0" fontId="36" fillId="0" borderId="0" xfId="0" applyFont="1"/>
    <xf numFmtId="0" fontId="15" fillId="0" borderId="0" xfId="5" applyAlignment="1">
      <alignment horizontal="left"/>
    </xf>
    <xf numFmtId="164" fontId="4" fillId="4" borderId="1" xfId="1" applyNumberFormat="1" applyFont="1" applyFill="1" applyBorder="1" applyAlignment="1">
      <alignment horizontal="center" vertical="center"/>
    </xf>
    <xf numFmtId="164" fontId="4" fillId="4" borderId="8" xfId="1" applyNumberFormat="1" applyFont="1" applyFill="1" applyBorder="1" applyAlignment="1">
      <alignment horizontal="center" vertical="center"/>
    </xf>
    <xf numFmtId="164" fontId="4" fillId="4" borderId="5" xfId="1" applyNumberFormat="1" applyFont="1" applyFill="1" applyBorder="1" applyAlignment="1">
      <alignment horizontal="center" vertical="center"/>
    </xf>
    <xf numFmtId="164" fontId="4" fillId="5" borderId="1" xfId="1" applyNumberFormat="1" applyFont="1" applyFill="1" applyBorder="1" applyAlignment="1">
      <alignment horizontal="center" vertical="center"/>
    </xf>
    <xf numFmtId="164" fontId="4" fillId="5" borderId="5" xfId="1" applyNumberFormat="1" applyFont="1" applyFill="1" applyBorder="1" applyAlignment="1">
      <alignment horizontal="center" vertical="center"/>
    </xf>
    <xf numFmtId="164" fontId="4" fillId="5" borderId="8" xfId="1" applyNumberFormat="1" applyFont="1" applyFill="1" applyBorder="1" applyAlignment="1">
      <alignment horizontal="center" vertical="center"/>
    </xf>
    <xf numFmtId="164" fontId="4" fillId="6" borderId="1" xfId="1" applyNumberFormat="1" applyFont="1" applyFill="1" applyBorder="1" applyAlignment="1">
      <alignment horizontal="center" vertical="center"/>
    </xf>
    <xf numFmtId="164" fontId="4" fillId="6" borderId="5" xfId="1" applyNumberFormat="1" applyFont="1" applyFill="1" applyBorder="1" applyAlignment="1">
      <alignment horizontal="center" vertical="center"/>
    </xf>
    <xf numFmtId="164" fontId="4" fillId="6" borderId="8" xfId="1" applyNumberFormat="1" applyFont="1" applyFill="1" applyBorder="1" applyAlignment="1">
      <alignment horizontal="center" vertical="center"/>
    </xf>
    <xf numFmtId="164" fontId="4" fillId="7" borderId="1" xfId="1" applyNumberFormat="1" applyFont="1" applyFill="1" applyBorder="1" applyAlignment="1">
      <alignment horizontal="center" vertical="center"/>
    </xf>
    <xf numFmtId="164" fontId="4" fillId="7" borderId="5" xfId="1" applyNumberFormat="1" applyFont="1" applyFill="1" applyBorder="1" applyAlignment="1">
      <alignment horizontal="center" vertical="center"/>
    </xf>
    <xf numFmtId="164" fontId="4" fillId="7" borderId="8" xfId="1" applyNumberFormat="1" applyFont="1" applyFill="1" applyBorder="1" applyAlignment="1">
      <alignment horizontal="center" vertical="center"/>
    </xf>
    <xf numFmtId="164" fontId="9" fillId="0" borderId="1" xfId="1" applyNumberFormat="1" applyFont="1" applyBorder="1" applyAlignment="1">
      <alignment horizontal="center" vertical="center"/>
    </xf>
    <xf numFmtId="164" fontId="9" fillId="0" borderId="5" xfId="1" applyNumberFormat="1" applyFont="1" applyBorder="1" applyAlignment="1">
      <alignment horizontal="center" vertical="center"/>
    </xf>
    <xf numFmtId="164" fontId="9" fillId="0" borderId="8" xfId="1" applyNumberFormat="1" applyFont="1" applyBorder="1" applyAlignment="1">
      <alignment horizontal="center" vertical="center"/>
    </xf>
    <xf numFmtId="164" fontId="9" fillId="0" borderId="9" xfId="1" applyNumberFormat="1" applyFont="1" applyBorder="1" applyAlignment="1">
      <alignment horizontal="center" vertical="center"/>
    </xf>
    <xf numFmtId="164" fontId="9" fillId="0" borderId="7" xfId="1" applyNumberFormat="1" applyFont="1" applyBorder="1" applyAlignment="1">
      <alignment horizontal="center" vertical="center"/>
    </xf>
    <xf numFmtId="0" fontId="33" fillId="0" borderId="0" xfId="0" applyFont="1"/>
    <xf numFmtId="0" fontId="33" fillId="0" borderId="0" xfId="0" applyFont="1" applyAlignment="1">
      <alignment horizontal="right" wrapText="1"/>
    </xf>
    <xf numFmtId="44" fontId="33" fillId="0" borderId="0" xfId="1" applyFont="1"/>
    <xf numFmtId="0" fontId="37" fillId="0" borderId="0" xfId="0" applyFont="1"/>
    <xf numFmtId="0" fontId="38" fillId="0" borderId="0" xfId="0" applyFont="1"/>
    <xf numFmtId="44" fontId="37" fillId="0" borderId="0" xfId="0" applyNumberFormat="1" applyFont="1"/>
    <xf numFmtId="0" fontId="39" fillId="0" borderId="0" xfId="0" applyFont="1" applyAlignment="1">
      <alignment horizontal="right"/>
    </xf>
    <xf numFmtId="164" fontId="39" fillId="0" borderId="0" xfId="0" applyNumberFormat="1" applyFont="1"/>
    <xf numFmtId="0" fontId="40" fillId="0" borderId="0" xfId="0" applyFont="1"/>
    <xf numFmtId="164" fontId="39" fillId="0" borderId="0" xfId="1" applyNumberFormat="1" applyFont="1"/>
    <xf numFmtId="0" fontId="41" fillId="0" borderId="0" xfId="0" applyFont="1" applyAlignment="1">
      <alignment horizontal="right"/>
    </xf>
    <xf numFmtId="10" fontId="37" fillId="0" borderId="0" xfId="2" applyNumberFormat="1" applyFont="1"/>
    <xf numFmtId="164" fontId="42" fillId="0" borderId="0" xfId="0" applyNumberFormat="1" applyFont="1"/>
    <xf numFmtId="9" fontId="37" fillId="0" borderId="0" xfId="2" applyFont="1"/>
    <xf numFmtId="164" fontId="37" fillId="0" borderId="0" xfId="0" applyNumberFormat="1" applyFont="1"/>
    <xf numFmtId="165" fontId="38" fillId="0" borderId="23" xfId="0" applyNumberFormat="1" applyFont="1" applyBorder="1" applyAlignment="1">
      <alignment horizontal="left"/>
    </xf>
    <xf numFmtId="0" fontId="43" fillId="0" borderId="0" xfId="0" applyFont="1"/>
    <xf numFmtId="0" fontId="43" fillId="0" borderId="24" xfId="0" applyFont="1" applyBorder="1" applyAlignment="1">
      <alignment wrapText="1"/>
    </xf>
    <xf numFmtId="0" fontId="43" fillId="0" borderId="25" xfId="0" applyFont="1" applyBorder="1" applyAlignment="1">
      <alignment wrapText="1"/>
    </xf>
    <xf numFmtId="0" fontId="43" fillId="0" borderId="23" xfId="0" applyFont="1" applyBorder="1" applyAlignment="1">
      <alignment wrapText="1"/>
    </xf>
    <xf numFmtId="0" fontId="44" fillId="15" borderId="0" xfId="0" applyFont="1" applyFill="1"/>
    <xf numFmtId="164" fontId="44" fillId="15" borderId="24" xfId="1" applyNumberFormat="1" applyFont="1" applyFill="1" applyBorder="1"/>
    <xf numFmtId="164" fontId="44" fillId="15" borderId="25" xfId="1" applyNumberFormat="1" applyFont="1" applyFill="1" applyBorder="1"/>
    <xf numFmtId="9" fontId="44" fillId="15" borderId="25" xfId="2" applyFont="1" applyFill="1" applyBorder="1"/>
    <xf numFmtId="0" fontId="44" fillId="15" borderId="23" xfId="0" applyFont="1" applyFill="1" applyBorder="1"/>
    <xf numFmtId="0" fontId="44" fillId="0" borderId="0" xfId="0" applyFont="1"/>
    <xf numFmtId="0" fontId="37" fillId="10" borderId="0" xfId="0" applyFont="1" applyFill="1"/>
    <xf numFmtId="164" fontId="37" fillId="10" borderId="25" xfId="1" applyNumberFormat="1" applyFont="1" applyFill="1" applyBorder="1"/>
    <xf numFmtId="0" fontId="37" fillId="10" borderId="25" xfId="0" applyFont="1" applyFill="1" applyBorder="1"/>
    <xf numFmtId="9" fontId="37" fillId="10" borderId="25" xfId="2" applyFont="1" applyFill="1" applyBorder="1"/>
    <xf numFmtId="0" fontId="37" fillId="10" borderId="23" xfId="0" applyFont="1" applyFill="1" applyBorder="1"/>
    <xf numFmtId="164" fontId="37" fillId="10" borderId="24" xfId="1" applyNumberFormat="1" applyFont="1" applyFill="1" applyBorder="1"/>
    <xf numFmtId="0" fontId="45" fillId="0" borderId="0" xfId="0" applyFont="1"/>
    <xf numFmtId="9" fontId="37" fillId="15" borderId="25" xfId="2" applyFont="1" applyFill="1" applyBorder="1"/>
    <xf numFmtId="0" fontId="37" fillId="15" borderId="23" xfId="0" applyFont="1" applyFill="1" applyBorder="1"/>
    <xf numFmtId="0" fontId="44" fillId="16" borderId="0" xfId="0" applyFont="1" applyFill="1"/>
    <xf numFmtId="164" fontId="44" fillId="16" borderId="24" xfId="1" applyNumberFormat="1" applyFont="1" applyFill="1" applyBorder="1"/>
    <xf numFmtId="164" fontId="44" fillId="16" borderId="25" xfId="1" applyNumberFormat="1" applyFont="1" applyFill="1" applyBorder="1"/>
    <xf numFmtId="9" fontId="44" fillId="16" borderId="25" xfId="2" applyFont="1" applyFill="1" applyBorder="1"/>
    <xf numFmtId="9" fontId="37" fillId="16" borderId="25" xfId="2" applyFont="1" applyFill="1" applyBorder="1"/>
    <xf numFmtId="0" fontId="37" fillId="16" borderId="23" xfId="0" applyFont="1" applyFill="1" applyBorder="1"/>
    <xf numFmtId="0" fontId="37" fillId="8" borderId="0" xfId="0" applyFont="1" applyFill="1"/>
    <xf numFmtId="164" fontId="37" fillId="8" borderId="24" xfId="1" applyNumberFormat="1" applyFont="1" applyFill="1" applyBorder="1"/>
    <xf numFmtId="164" fontId="37" fillId="8" borderId="25" xfId="1" applyNumberFormat="1" applyFont="1" applyFill="1" applyBorder="1"/>
    <xf numFmtId="0" fontId="37" fillId="8" borderId="25" xfId="0" applyFont="1" applyFill="1" applyBorder="1"/>
    <xf numFmtId="9" fontId="37" fillId="8" borderId="25" xfId="2" applyFont="1" applyFill="1" applyBorder="1"/>
    <xf numFmtId="0" fontId="37" fillId="8" borderId="23" xfId="0" applyFont="1" applyFill="1" applyBorder="1"/>
    <xf numFmtId="0" fontId="44" fillId="17" borderId="0" xfId="0" applyFont="1" applyFill="1"/>
    <xf numFmtId="164" fontId="44" fillId="17" borderId="24" xfId="1" applyNumberFormat="1" applyFont="1" applyFill="1" applyBorder="1"/>
    <xf numFmtId="164" fontId="44" fillId="17" borderId="25" xfId="1" applyNumberFormat="1" applyFont="1" applyFill="1" applyBorder="1"/>
    <xf numFmtId="9" fontId="44" fillId="17" borderId="25" xfId="2" applyFont="1" applyFill="1" applyBorder="1"/>
    <xf numFmtId="9" fontId="37" fillId="17" borderId="25" xfId="2" applyFont="1" applyFill="1" applyBorder="1"/>
    <xf numFmtId="0" fontId="37" fillId="17" borderId="23" xfId="0" applyFont="1" applyFill="1" applyBorder="1"/>
    <xf numFmtId="0" fontId="37" fillId="6" borderId="0" xfId="0" applyFont="1" applyFill="1"/>
    <xf numFmtId="164" fontId="37" fillId="6" borderId="24" xfId="1" applyNumberFormat="1" applyFont="1" applyFill="1" applyBorder="1"/>
    <xf numFmtId="164" fontId="37" fillId="6" borderId="25" xfId="1" applyNumberFormat="1" applyFont="1" applyFill="1" applyBorder="1"/>
    <xf numFmtId="0" fontId="37" fillId="6" borderId="25" xfId="0" applyFont="1" applyFill="1" applyBorder="1"/>
    <xf numFmtId="9" fontId="37" fillId="6" borderId="25" xfId="2" applyFont="1" applyFill="1" applyBorder="1"/>
    <xf numFmtId="0" fontId="37" fillId="6" borderId="23" xfId="0" applyFont="1" applyFill="1" applyBorder="1"/>
    <xf numFmtId="0" fontId="44" fillId="2" borderId="0" xfId="0" applyFont="1" applyFill="1"/>
    <xf numFmtId="164" fontId="44" fillId="2" borderId="24" xfId="1" applyNumberFormat="1" applyFont="1" applyFill="1" applyBorder="1"/>
    <xf numFmtId="164" fontId="44" fillId="2" borderId="25" xfId="1" applyNumberFormat="1" applyFont="1" applyFill="1" applyBorder="1"/>
    <xf numFmtId="9" fontId="44" fillId="2" borderId="25" xfId="2" applyFont="1" applyFill="1" applyBorder="1"/>
    <xf numFmtId="9" fontId="37" fillId="2" borderId="25" xfId="2" applyFont="1" applyFill="1" applyBorder="1"/>
    <xf numFmtId="0" fontId="37" fillId="2" borderId="23" xfId="0" applyFont="1" applyFill="1" applyBorder="1"/>
    <xf numFmtId="0" fontId="37" fillId="7" borderId="0" xfId="0" applyFont="1" applyFill="1"/>
    <xf numFmtId="164" fontId="37" fillId="7" borderId="24" xfId="1" applyNumberFormat="1" applyFont="1" applyFill="1" applyBorder="1"/>
    <xf numFmtId="164" fontId="37" fillId="7" borderId="25" xfId="1" applyNumberFormat="1" applyFont="1" applyFill="1" applyBorder="1"/>
    <xf numFmtId="0" fontId="37" fillId="7" borderId="25" xfId="0" applyFont="1" applyFill="1" applyBorder="1"/>
    <xf numFmtId="9" fontId="37" fillId="7" borderId="25" xfId="2" applyFont="1" applyFill="1" applyBorder="1"/>
    <xf numFmtId="0" fontId="37" fillId="7" borderId="23" xfId="0" applyFont="1" applyFill="1" applyBorder="1"/>
    <xf numFmtId="0" fontId="46" fillId="18" borderId="0" xfId="0" applyFont="1" applyFill="1"/>
    <xf numFmtId="164" fontId="47" fillId="18" borderId="26" xfId="0" applyNumberFormat="1" applyFont="1" applyFill="1" applyBorder="1"/>
    <xf numFmtId="164" fontId="47" fillId="18" borderId="0" xfId="0" applyNumberFormat="1" applyFont="1" applyFill="1"/>
    <xf numFmtId="9" fontId="47" fillId="18" borderId="0" xfId="2" applyFont="1" applyFill="1" applyBorder="1"/>
    <xf numFmtId="44" fontId="47" fillId="18" borderId="27" xfId="0" applyNumberFormat="1" applyFont="1" applyFill="1" applyBorder="1"/>
    <xf numFmtId="0" fontId="39" fillId="0" borderId="0" xfId="0" applyFont="1"/>
    <xf numFmtId="0" fontId="48" fillId="0" borderId="0" xfId="0" applyFont="1"/>
    <xf numFmtId="44" fontId="48" fillId="0" borderId="0" xfId="1" applyFont="1"/>
    <xf numFmtId="44" fontId="48" fillId="0" borderId="0" xfId="0" applyNumberFormat="1" applyFont="1"/>
    <xf numFmtId="10" fontId="48" fillId="0" borderId="0" xfId="0" applyNumberFormat="1" applyFont="1"/>
    <xf numFmtId="0" fontId="49" fillId="0" borderId="0" xfId="0" applyFont="1"/>
    <xf numFmtId="6" fontId="49" fillId="0" borderId="0" xfId="0" applyNumberFormat="1" applyFont="1"/>
    <xf numFmtId="0" fontId="50" fillId="10" borderId="25" xfId="0" applyFont="1" applyFill="1" applyBorder="1"/>
    <xf numFmtId="0" fontId="50" fillId="0" borderId="0" xfId="0" applyFont="1"/>
    <xf numFmtId="0" fontId="51" fillId="0" borderId="0" xfId="0" applyFont="1"/>
    <xf numFmtId="0" fontId="21" fillId="12" borderId="0" xfId="0" applyFont="1" applyFill="1"/>
    <xf numFmtId="167" fontId="21" fillId="12" borderId="0" xfId="0" applyNumberFormat="1" applyFont="1" applyFill="1"/>
    <xf numFmtId="0" fontId="17" fillId="12" borderId="0" xfId="0" applyFont="1" applyFill="1"/>
    <xf numFmtId="164" fontId="48" fillId="10" borderId="21" xfId="1" applyNumberFormat="1" applyFont="1" applyFill="1" applyBorder="1"/>
    <xf numFmtId="164" fontId="48" fillId="10" borderId="25" xfId="1" applyNumberFormat="1" applyFont="1" applyFill="1" applyBorder="1"/>
    <xf numFmtId="0" fontId="48" fillId="10" borderId="23" xfId="0" applyFont="1" applyFill="1" applyBorder="1"/>
    <xf numFmtId="9" fontId="48" fillId="10" borderId="25" xfId="2" applyFont="1" applyFill="1" applyBorder="1"/>
    <xf numFmtId="0" fontId="48" fillId="10" borderId="0" xfId="0" applyFont="1" applyFill="1"/>
    <xf numFmtId="167" fontId="21" fillId="23" borderId="0" xfId="0" applyNumberFormat="1" applyFont="1" applyFill="1"/>
    <xf numFmtId="165" fontId="48" fillId="0" borderId="0" xfId="2" applyNumberFormat="1" applyFont="1" applyAlignment="1">
      <alignment horizontal="left"/>
    </xf>
    <xf numFmtId="5" fontId="48" fillId="0" borderId="0" xfId="0" applyNumberFormat="1" applyFont="1" applyAlignment="1">
      <alignment horizontal="left"/>
    </xf>
    <xf numFmtId="0" fontId="53" fillId="0" borderId="0" xfId="0" applyFont="1"/>
    <xf numFmtId="0" fontId="54" fillId="0" borderId="0" xfId="0" applyFont="1"/>
    <xf numFmtId="0" fontId="55" fillId="0" borderId="0" xfId="0" applyFont="1"/>
    <xf numFmtId="0" fontId="56" fillId="0" borderId="0" xfId="0" applyFont="1"/>
    <xf numFmtId="0" fontId="55" fillId="0" borderId="1" xfId="0" applyFont="1" applyBorder="1"/>
    <xf numFmtId="0" fontId="54" fillId="0" borderId="1" xfId="0" applyFont="1" applyBorder="1" applyAlignment="1">
      <alignment wrapText="1"/>
    </xf>
    <xf numFmtId="44" fontId="55" fillId="0" borderId="1" xfId="1" applyFont="1" applyBorder="1"/>
    <xf numFmtId="0" fontId="55" fillId="17" borderId="0" xfId="0" applyFont="1" applyFill="1"/>
    <xf numFmtId="0" fontId="54" fillId="17" borderId="0" xfId="0" applyFont="1" applyFill="1"/>
    <xf numFmtId="0" fontId="54" fillId="4" borderId="0" xfId="0" applyFont="1" applyFill="1"/>
    <xf numFmtId="0" fontId="55" fillId="4" borderId="0" xfId="0" applyFont="1" applyFill="1"/>
    <xf numFmtId="44" fontId="55" fillId="0" borderId="0" xfId="1" applyFont="1"/>
    <xf numFmtId="44" fontId="55" fillId="0" borderId="0" xfId="0" applyNumberFormat="1" applyFont="1"/>
    <xf numFmtId="0" fontId="4" fillId="0" borderId="15" xfId="0" applyFont="1" applyBorder="1"/>
    <xf numFmtId="10" fontId="4" fillId="0" borderId="15" xfId="0" applyNumberFormat="1" applyFont="1" applyBorder="1"/>
    <xf numFmtId="164" fontId="4" fillId="0" borderId="15" xfId="0" applyNumberFormat="1" applyFont="1" applyBorder="1"/>
    <xf numFmtId="0" fontId="9" fillId="8" borderId="15" xfId="0" applyFont="1" applyFill="1" applyBorder="1"/>
    <xf numFmtId="10" fontId="9" fillId="8" borderId="15" xfId="0" applyNumberFormat="1" applyFont="1" applyFill="1" applyBorder="1"/>
    <xf numFmtId="164" fontId="9" fillId="8" borderId="15" xfId="0" applyNumberFormat="1" applyFont="1" applyFill="1" applyBorder="1"/>
    <xf numFmtId="164" fontId="4" fillId="0" borderId="33" xfId="0" applyNumberFormat="1" applyFont="1" applyBorder="1"/>
    <xf numFmtId="164" fontId="10" fillId="0" borderId="6" xfId="0" applyNumberFormat="1" applyFont="1" applyBorder="1" applyAlignment="1">
      <alignment horizontal="center"/>
    </xf>
    <xf numFmtId="164" fontId="10" fillId="0" borderId="11" xfId="0" applyNumberFormat="1" applyFont="1" applyBorder="1" applyAlignment="1">
      <alignment horizontal="center"/>
    </xf>
    <xf numFmtId="164" fontId="9" fillId="8" borderId="33" xfId="0" applyNumberFormat="1" applyFont="1" applyFill="1" applyBorder="1"/>
    <xf numFmtId="0" fontId="9" fillId="0" borderId="15" xfId="0" applyFont="1" applyBorder="1" applyAlignment="1">
      <alignment horizontal="left"/>
    </xf>
    <xf numFmtId="5" fontId="10" fillId="0" borderId="0" xfId="0" applyNumberFormat="1" applyFont="1" applyAlignment="1">
      <alignment horizontal="center"/>
    </xf>
    <xf numFmtId="0" fontId="10" fillId="0" borderId="18" xfId="0" applyFont="1" applyBorder="1" applyAlignment="1">
      <alignment horizontal="right"/>
    </xf>
    <xf numFmtId="5" fontId="10" fillId="0" borderId="18" xfId="0" applyNumberFormat="1" applyFont="1" applyBorder="1" applyAlignment="1">
      <alignment horizontal="center"/>
    </xf>
    <xf numFmtId="0" fontId="10" fillId="0" borderId="18" xfId="0" applyFont="1" applyBorder="1" applyAlignment="1">
      <alignment horizontal="center"/>
    </xf>
    <xf numFmtId="0" fontId="10" fillId="0" borderId="19" xfId="0" applyFont="1" applyBorder="1" applyAlignment="1">
      <alignment horizontal="right"/>
    </xf>
    <xf numFmtId="5" fontId="10" fillId="0" borderId="16" xfId="0" applyNumberFormat="1" applyFont="1" applyBorder="1" applyAlignment="1">
      <alignment horizontal="center"/>
    </xf>
    <xf numFmtId="0" fontId="3" fillId="8" borderId="10" xfId="0" applyFont="1" applyFill="1" applyBorder="1" applyAlignment="1">
      <alignment horizontal="right"/>
    </xf>
    <xf numFmtId="5" fontId="3" fillId="8" borderId="10" xfId="0" applyNumberFormat="1" applyFont="1" applyFill="1" applyBorder="1" applyAlignment="1">
      <alignment horizontal="center"/>
    </xf>
    <xf numFmtId="0" fontId="10" fillId="8" borderId="10" xfId="0" applyFont="1" applyFill="1" applyBorder="1" applyAlignment="1">
      <alignment horizontal="center"/>
    </xf>
    <xf numFmtId="164" fontId="3" fillId="0" borderId="6" xfId="0" applyNumberFormat="1" applyFont="1" applyBorder="1" applyAlignment="1">
      <alignment horizontal="center"/>
    </xf>
    <xf numFmtId="164" fontId="9" fillId="8" borderId="15" xfId="1" applyNumberFormat="1" applyFont="1" applyFill="1" applyBorder="1"/>
    <xf numFmtId="0" fontId="3" fillId="10" borderId="0" xfId="0" applyFont="1" applyFill="1" applyAlignment="1">
      <alignment horizontal="right" wrapText="1"/>
    </xf>
    <xf numFmtId="0" fontId="3" fillId="0" borderId="0" xfId="0" applyFont="1" applyAlignment="1">
      <alignment horizontal="right"/>
    </xf>
    <xf numFmtId="5" fontId="3" fillId="0" borderId="0" xfId="0" applyNumberFormat="1" applyFont="1" applyAlignment="1">
      <alignment horizontal="center"/>
    </xf>
    <xf numFmtId="9" fontId="10" fillId="0" borderId="0" xfId="4" applyFont="1" applyBorder="1" applyAlignment="1">
      <alignment horizontal="center"/>
    </xf>
    <xf numFmtId="0" fontId="3" fillId="7" borderId="0" xfId="0" applyFont="1" applyFill="1" applyAlignment="1">
      <alignment horizontal="right" wrapText="1"/>
    </xf>
    <xf numFmtId="0" fontId="10" fillId="7" borderId="0" xfId="0" applyFont="1" applyFill="1" applyAlignment="1">
      <alignment horizontal="center"/>
    </xf>
    <xf numFmtId="0" fontId="10" fillId="7" borderId="0" xfId="0" applyFont="1" applyFill="1" applyAlignment="1">
      <alignment horizontal="center" wrapText="1"/>
    </xf>
    <xf numFmtId="169" fontId="0" fillId="0" borderId="0" xfId="0" applyNumberFormat="1"/>
    <xf numFmtId="0" fontId="15" fillId="0" borderId="0" xfId="5" applyAlignment="1">
      <alignment vertical="center" wrapText="1"/>
    </xf>
    <xf numFmtId="0" fontId="0" fillId="0" borderId="0" xfId="0" applyAlignment="1">
      <alignment vertical="center" wrapText="1"/>
    </xf>
    <xf numFmtId="15" fontId="0" fillId="0" borderId="0" xfId="0" applyNumberFormat="1" applyAlignment="1">
      <alignment vertical="center" wrapText="1"/>
    </xf>
    <xf numFmtId="0" fontId="4" fillId="7" borderId="2"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2" xfId="0" applyFont="1" applyFill="1" applyBorder="1" applyAlignment="1">
      <alignment horizontal="center" vertical="center" wrapText="1"/>
    </xf>
    <xf numFmtId="0" fontId="4" fillId="7" borderId="3" xfId="0" applyFont="1" applyFill="1" applyBorder="1" applyAlignment="1">
      <alignment horizontal="center" vertical="center" wrapText="1"/>
    </xf>
    <xf numFmtId="0" fontId="4" fillId="7" borderId="4"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7" fillId="3" borderId="5" xfId="3" applyFont="1" applyFill="1" applyBorder="1" applyAlignment="1">
      <alignment horizontal="center" vertical="center" wrapText="1"/>
    </xf>
    <xf numFmtId="0" fontId="7" fillId="3" borderId="6" xfId="3" applyFont="1" applyFill="1" applyBorder="1" applyAlignment="1">
      <alignment horizontal="center" vertical="center" wrapText="1"/>
    </xf>
    <xf numFmtId="0" fontId="7" fillId="3" borderId="7" xfId="3" applyFont="1" applyFill="1" applyBorder="1" applyAlignment="1">
      <alignment horizontal="center" vertical="center" wrapText="1"/>
    </xf>
    <xf numFmtId="0" fontId="38" fillId="0" borderId="21" xfId="0" applyFont="1" applyBorder="1" applyAlignment="1">
      <alignment horizontal="center"/>
    </xf>
    <xf numFmtId="0" fontId="38" fillId="0" borderId="0" xfId="0" applyFont="1" applyAlignment="1">
      <alignment horizontal="center"/>
    </xf>
    <xf numFmtId="0" fontId="38" fillId="0" borderId="22" xfId="0" applyFont="1" applyBorder="1" applyAlignment="1">
      <alignment horizontal="center"/>
    </xf>
    <xf numFmtId="164" fontId="52" fillId="0" borderId="0" xfId="1" applyNumberFormat="1" applyFont="1" applyAlignment="1">
      <alignment horizontal="right"/>
    </xf>
    <xf numFmtId="0" fontId="9" fillId="0" borderId="35" xfId="0" applyFont="1" applyBorder="1" applyAlignment="1">
      <alignment horizontal="right"/>
    </xf>
    <xf numFmtId="0" fontId="9" fillId="0" borderId="34" xfId="0" applyFont="1" applyBorder="1" applyAlignment="1">
      <alignment horizontal="right"/>
    </xf>
    <xf numFmtId="0" fontId="4" fillId="0" borderId="35" xfId="0" applyFont="1" applyBorder="1" applyAlignment="1">
      <alignment horizontal="right"/>
    </xf>
    <xf numFmtId="0" fontId="4" fillId="0" borderId="34" xfId="0" applyFont="1" applyBorder="1" applyAlignment="1">
      <alignment horizontal="right"/>
    </xf>
    <xf numFmtId="0" fontId="9" fillId="8" borderId="35" xfId="0" applyFont="1" applyFill="1" applyBorder="1" applyAlignment="1">
      <alignment horizontal="right"/>
    </xf>
    <xf numFmtId="0" fontId="9" fillId="8" borderId="34" xfId="0" applyFont="1" applyFill="1" applyBorder="1" applyAlignment="1">
      <alignment horizontal="right"/>
    </xf>
    <xf numFmtId="0" fontId="12" fillId="0" borderId="16" xfId="0" applyFont="1" applyBorder="1" applyAlignment="1">
      <alignment horizontal="left" wrapText="1"/>
    </xf>
    <xf numFmtId="0" fontId="12" fillId="0" borderId="0" xfId="0" applyFont="1" applyAlignment="1">
      <alignment horizontal="left" wrapText="1"/>
    </xf>
    <xf numFmtId="0" fontId="13" fillId="9" borderId="12" xfId="0" applyFont="1" applyFill="1" applyBorder="1" applyAlignment="1">
      <alignment horizontal="center" wrapText="1"/>
    </xf>
    <xf numFmtId="0" fontId="13" fillId="9" borderId="1" xfId="0" applyFont="1" applyFill="1" applyBorder="1" applyAlignment="1">
      <alignment horizontal="center" wrapText="1"/>
    </xf>
    <xf numFmtId="0" fontId="13" fillId="9" borderId="12" xfId="0" applyFont="1" applyFill="1" applyBorder="1" applyAlignment="1">
      <alignment horizontal="center"/>
    </xf>
    <xf numFmtId="0" fontId="13" fillId="9" borderId="13" xfId="0" applyFont="1" applyFill="1" applyBorder="1" applyAlignment="1">
      <alignment horizontal="center" wrapText="1"/>
    </xf>
    <xf numFmtId="0" fontId="3" fillId="12" borderId="19" xfId="0" applyFont="1" applyFill="1" applyBorder="1" applyAlignment="1">
      <alignment horizontal="right" wrapText="1"/>
    </xf>
    <xf numFmtId="0" fontId="3" fillId="12" borderId="11" xfId="0" applyFont="1" applyFill="1" applyBorder="1" applyAlignment="1">
      <alignment horizontal="right" wrapText="1"/>
    </xf>
    <xf numFmtId="5" fontId="10" fillId="11" borderId="11" xfId="0" applyNumberFormat="1" applyFont="1" applyFill="1" applyBorder="1" applyAlignment="1">
      <alignment horizontal="center"/>
    </xf>
    <xf numFmtId="0" fontId="10" fillId="12" borderId="0" xfId="0" applyFont="1" applyFill="1" applyAlignment="1">
      <alignment horizontal="center" wrapText="1"/>
    </xf>
    <xf numFmtId="0" fontId="10" fillId="12" borderId="20" xfId="0" applyFont="1" applyFill="1" applyBorder="1" applyAlignment="1">
      <alignment horizontal="center" wrapText="1"/>
    </xf>
    <xf numFmtId="0" fontId="3" fillId="6" borderId="19" xfId="0" applyFont="1" applyFill="1" applyBorder="1" applyAlignment="1">
      <alignment horizontal="right" wrapText="1"/>
    </xf>
    <xf numFmtId="0" fontId="3" fillId="6" borderId="11" xfId="0" applyFont="1" applyFill="1" applyBorder="1" applyAlignment="1">
      <alignment horizontal="right" wrapText="1"/>
    </xf>
    <xf numFmtId="0" fontId="3" fillId="0" borderId="21" xfId="0" applyFont="1" applyBorder="1" applyAlignment="1">
      <alignment horizontal="center"/>
    </xf>
    <xf numFmtId="0" fontId="3" fillId="0" borderId="0" xfId="0" applyFont="1" applyAlignment="1">
      <alignment horizontal="center"/>
    </xf>
    <xf numFmtId="0" fontId="3" fillId="0" borderId="22" xfId="0" applyFont="1" applyBorder="1" applyAlignment="1">
      <alignment horizontal="center"/>
    </xf>
    <xf numFmtId="0" fontId="4" fillId="20" borderId="5" xfId="0" applyFont="1" applyFill="1" applyBorder="1" applyAlignment="1">
      <alignment horizontal="center"/>
    </xf>
    <xf numFmtId="0" fontId="4" fillId="20" borderId="6" xfId="0" applyFont="1" applyFill="1" applyBorder="1" applyAlignment="1">
      <alignment horizontal="center"/>
    </xf>
    <xf numFmtId="0" fontId="4" fillId="20" borderId="7" xfId="0" applyFont="1" applyFill="1" applyBorder="1" applyAlignment="1">
      <alignment horizontal="center"/>
    </xf>
  </cellXfs>
  <cellStyles count="10">
    <cellStyle name="Comma 2" xfId="7" xr:uid="{695AA446-C1BE-4C6A-A38C-1CCC631D335C}"/>
    <cellStyle name="Currency" xfId="1" builtinId="4"/>
    <cellStyle name="Currency 2" xfId="6" xr:uid="{19C3600C-299C-4508-9EB5-854277DF0D23}"/>
    <cellStyle name="Currency 3" xfId="8" xr:uid="{E935AD35-42C7-4B1A-8725-8F134046E9BB}"/>
    <cellStyle name="Hyperlink" xfId="5" builtinId="8"/>
    <cellStyle name="Normal" xfId="0" builtinId="0"/>
    <cellStyle name="Normal 2" xfId="3" xr:uid="{CBDE427C-F617-44EB-9BCE-5E266A45C697}"/>
    <cellStyle name="Percent" xfId="2" builtinId="5"/>
    <cellStyle name="Percent 2" xfId="4" xr:uid="{348DA1BC-7D01-4842-A2F0-CD5F51EEBC0B}"/>
    <cellStyle name="Percent 2 2" xfId="9" xr:uid="{67B389AD-5A20-4F8F-A2BE-DD11F3C6F0FA}"/>
  </cellStyles>
  <dxfs count="1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ill>
        <patternFill>
          <bgColor rgb="FFFF0000"/>
        </patternFill>
      </fill>
    </dxf>
    <dxf>
      <fill>
        <patternFill>
          <bgColor rgb="FFFFC000"/>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
      <fill>
        <patternFill>
          <bgColor rgb="FFFF0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'Category History'!$B$20</c:f>
          <c:strCache>
            <c:ptCount val="1"/>
            <c:pt idx="0">
              <c:v>RTF Budgets (not including Council In-Kind Contribution)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691583496988132E-2"/>
          <c:y val="0.10041282745236475"/>
          <c:w val="0.68019485762548759"/>
          <c:h val="0.83136725484879348"/>
        </c:manualLayout>
      </c:layout>
      <c:barChart>
        <c:barDir val="col"/>
        <c:grouping val="stacked"/>
        <c:varyColors val="0"/>
        <c:ser>
          <c:idx val="0"/>
          <c:order val="0"/>
          <c:tx>
            <c:strRef>
              <c:f>'Category History'!$B$21</c:f>
              <c:strCache>
                <c:ptCount val="1"/>
                <c:pt idx="0">
                  <c:v>Existing Measure Review &amp; Updates</c:v>
                </c:pt>
              </c:strCache>
            </c:strRef>
          </c:tx>
          <c:spPr>
            <a:solidFill>
              <a:schemeClr val="accent1"/>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History'!$C$21:$E$21</c:f>
              <c:numCache>
                <c:formatCode>"$"#,##0_);\("$"#,##0\)</c:formatCode>
                <c:ptCount val="3"/>
                <c:pt idx="0">
                  <c:v>638400</c:v>
                </c:pt>
                <c:pt idx="1">
                  <c:v>638000</c:v>
                </c:pt>
                <c:pt idx="2">
                  <c:v>503300</c:v>
                </c:pt>
              </c:numCache>
            </c:numRef>
          </c:val>
          <c:extLst>
            <c:ext xmlns:c16="http://schemas.microsoft.com/office/drawing/2014/chart" uri="{C3380CC4-5D6E-409C-BE32-E72D297353CC}">
              <c16:uniqueId val="{00000000-0236-4C7A-9CD2-B608C03DDC36}"/>
            </c:ext>
          </c:extLst>
        </c:ser>
        <c:ser>
          <c:idx val="1"/>
          <c:order val="1"/>
          <c:tx>
            <c:strRef>
              <c:f>'Category History'!$B$22</c:f>
              <c:strCache>
                <c:ptCount val="1"/>
                <c:pt idx="0">
                  <c:v>New Measure Development &amp; Review of Unsolicited Proposals</c:v>
                </c:pt>
              </c:strCache>
            </c:strRef>
          </c:tx>
          <c:spPr>
            <a:solidFill>
              <a:schemeClr val="accent2"/>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History'!$C$22:$E$22</c:f>
              <c:numCache>
                <c:formatCode>"$"#,##0_);\("$"#,##0\)</c:formatCode>
                <c:ptCount val="3"/>
                <c:pt idx="0">
                  <c:v>492000</c:v>
                </c:pt>
                <c:pt idx="1">
                  <c:v>226500</c:v>
                </c:pt>
                <c:pt idx="2">
                  <c:v>327800</c:v>
                </c:pt>
              </c:numCache>
            </c:numRef>
          </c:val>
          <c:extLst>
            <c:ext xmlns:c16="http://schemas.microsoft.com/office/drawing/2014/chart" uri="{C3380CC4-5D6E-409C-BE32-E72D297353CC}">
              <c16:uniqueId val="{00000001-0236-4C7A-9CD2-B608C03DDC36}"/>
            </c:ext>
          </c:extLst>
        </c:ser>
        <c:ser>
          <c:idx val="2"/>
          <c:order val="2"/>
          <c:tx>
            <c:strRef>
              <c:f>'Category History'!$B$23</c:f>
              <c:strCache>
                <c:ptCount val="1"/>
                <c:pt idx="0">
                  <c:v>Standardization of Technical Analysis</c:v>
                </c:pt>
              </c:strCache>
            </c:strRef>
          </c:tx>
          <c:spPr>
            <a:solidFill>
              <a:schemeClr val="accent3"/>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History'!$C$23:$E$23</c:f>
              <c:numCache>
                <c:formatCode>"$"#,##0_);\("$"#,##0\)</c:formatCode>
                <c:ptCount val="3"/>
                <c:pt idx="0">
                  <c:v>196000</c:v>
                </c:pt>
                <c:pt idx="1">
                  <c:v>184500</c:v>
                </c:pt>
                <c:pt idx="2">
                  <c:v>198700</c:v>
                </c:pt>
              </c:numCache>
            </c:numRef>
          </c:val>
          <c:extLst>
            <c:ext xmlns:c16="http://schemas.microsoft.com/office/drawing/2014/chart" uri="{C3380CC4-5D6E-409C-BE32-E72D297353CC}">
              <c16:uniqueId val="{00000002-0236-4C7A-9CD2-B608C03DDC36}"/>
            </c:ext>
          </c:extLst>
        </c:ser>
        <c:ser>
          <c:idx val="3"/>
          <c:order val="3"/>
          <c:tx>
            <c:strRef>
              <c:f>'Category History'!$B$24</c:f>
              <c:strCache>
                <c:ptCount val="1"/>
                <c:pt idx="0">
                  <c:v>Tool Development</c:v>
                </c:pt>
              </c:strCache>
            </c:strRef>
          </c:tx>
          <c:spPr>
            <a:solidFill>
              <a:schemeClr val="accent4"/>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History'!$C$24:$E$24</c:f>
              <c:numCache>
                <c:formatCode>"$"#,##0_);\("$"#,##0\)</c:formatCode>
                <c:ptCount val="3"/>
                <c:pt idx="0">
                  <c:v>106000</c:v>
                </c:pt>
                <c:pt idx="1">
                  <c:v>188000</c:v>
                </c:pt>
                <c:pt idx="2">
                  <c:v>130200</c:v>
                </c:pt>
              </c:numCache>
            </c:numRef>
          </c:val>
          <c:extLst>
            <c:ext xmlns:c16="http://schemas.microsoft.com/office/drawing/2014/chart" uri="{C3380CC4-5D6E-409C-BE32-E72D297353CC}">
              <c16:uniqueId val="{00000003-0236-4C7A-9CD2-B608C03DDC36}"/>
            </c:ext>
          </c:extLst>
        </c:ser>
        <c:ser>
          <c:idx val="4"/>
          <c:order val="4"/>
          <c:tx>
            <c:strRef>
              <c:f>'Category History'!$B$25</c:f>
              <c:strCache>
                <c:ptCount val="1"/>
                <c:pt idx="0">
                  <c:v>Regional Coordination</c:v>
                </c:pt>
              </c:strCache>
            </c:strRef>
          </c:tx>
          <c:spPr>
            <a:solidFill>
              <a:schemeClr val="accent5"/>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History'!$C$25:$E$25</c:f>
              <c:numCache>
                <c:formatCode>"$"#,##0_);\("$"#,##0\)</c:formatCode>
                <c:ptCount val="3"/>
                <c:pt idx="0">
                  <c:v>162650</c:v>
                </c:pt>
                <c:pt idx="1">
                  <c:v>224700</c:v>
                </c:pt>
                <c:pt idx="2">
                  <c:v>215200</c:v>
                </c:pt>
              </c:numCache>
            </c:numRef>
          </c:val>
          <c:extLst>
            <c:ext xmlns:c16="http://schemas.microsoft.com/office/drawing/2014/chart" uri="{C3380CC4-5D6E-409C-BE32-E72D297353CC}">
              <c16:uniqueId val="{00000004-0236-4C7A-9CD2-B608C03DDC36}"/>
            </c:ext>
          </c:extLst>
        </c:ser>
        <c:ser>
          <c:idx val="5"/>
          <c:order val="5"/>
          <c:tx>
            <c:strRef>
              <c:f>'Category History'!$B$26</c:f>
              <c:strCache>
                <c:ptCount val="1"/>
                <c:pt idx="0">
                  <c:v>Demand Response</c:v>
                </c:pt>
              </c:strCache>
            </c:strRef>
          </c:tx>
          <c:spPr>
            <a:solidFill>
              <a:schemeClr val="accent6"/>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History'!$C$26:$E$26</c:f>
              <c:numCache>
                <c:formatCode>"$"#,##0_);\("$"#,##0\)</c:formatCode>
                <c:ptCount val="3"/>
                <c:pt idx="0">
                  <c:v>83950</c:v>
                </c:pt>
                <c:pt idx="1">
                  <c:v>76200</c:v>
                </c:pt>
                <c:pt idx="2">
                  <c:v>55200</c:v>
                </c:pt>
              </c:numCache>
            </c:numRef>
          </c:val>
          <c:extLst>
            <c:ext xmlns:c16="http://schemas.microsoft.com/office/drawing/2014/chart" uri="{C3380CC4-5D6E-409C-BE32-E72D297353CC}">
              <c16:uniqueId val="{00000005-0236-4C7A-9CD2-B608C03DDC36}"/>
            </c:ext>
          </c:extLst>
        </c:ser>
        <c:ser>
          <c:idx val="6"/>
          <c:order val="6"/>
          <c:tx>
            <c:strRef>
              <c:f>'Category History'!$B$27</c:f>
              <c:strCache>
                <c:ptCount val="1"/>
                <c:pt idx="0">
                  <c:v>Planning Measure Research</c:v>
                </c:pt>
              </c:strCache>
            </c:strRef>
          </c:tx>
          <c:spPr>
            <a:solidFill>
              <a:schemeClr val="accent1">
                <a:lumMod val="60000"/>
              </a:schemeClr>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History'!$C$27:$E$27</c:f>
              <c:numCache>
                <c:formatCode>"$"#,##0_);\("$"#,##0\)</c:formatCode>
                <c:ptCount val="3"/>
                <c:pt idx="0">
                  <c:v>76800</c:v>
                </c:pt>
              </c:numCache>
            </c:numRef>
          </c:val>
          <c:extLst>
            <c:ext xmlns:c16="http://schemas.microsoft.com/office/drawing/2014/chart" uri="{C3380CC4-5D6E-409C-BE32-E72D297353CC}">
              <c16:uniqueId val="{00000006-0236-4C7A-9CD2-B608C03DDC36}"/>
            </c:ext>
          </c:extLst>
        </c:ser>
        <c:ser>
          <c:idx val="7"/>
          <c:order val="7"/>
          <c:tx>
            <c:strRef>
              <c:f>'Category History'!$B$28</c:f>
              <c:strCache>
                <c:ptCount val="1"/>
                <c:pt idx="0">
                  <c:v>Website, Database support, Conservation Tracking </c:v>
                </c:pt>
              </c:strCache>
            </c:strRef>
          </c:tx>
          <c:spPr>
            <a:solidFill>
              <a:schemeClr val="accent2">
                <a:lumMod val="60000"/>
              </a:schemeClr>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History'!$C$28:$E$28</c:f>
              <c:numCache>
                <c:formatCode>"$"#,##0_);\("$"#,##0\)</c:formatCode>
                <c:ptCount val="3"/>
                <c:pt idx="0">
                  <c:v>302560</c:v>
                </c:pt>
                <c:pt idx="1">
                  <c:v>281900</c:v>
                </c:pt>
                <c:pt idx="2">
                  <c:v>304700</c:v>
                </c:pt>
              </c:numCache>
            </c:numRef>
          </c:val>
          <c:extLst>
            <c:ext xmlns:c16="http://schemas.microsoft.com/office/drawing/2014/chart" uri="{C3380CC4-5D6E-409C-BE32-E72D297353CC}">
              <c16:uniqueId val="{00000007-0236-4C7A-9CD2-B608C03DDC36}"/>
            </c:ext>
          </c:extLst>
        </c:ser>
        <c:ser>
          <c:idx val="8"/>
          <c:order val="8"/>
          <c:tx>
            <c:strRef>
              <c:f>'Category History'!$B$29</c:f>
              <c:strCache>
                <c:ptCount val="1"/>
                <c:pt idx="0">
                  <c:v>RTF Member Support &amp; Administration</c:v>
                </c:pt>
              </c:strCache>
            </c:strRef>
          </c:tx>
          <c:spPr>
            <a:solidFill>
              <a:schemeClr val="accent3">
                <a:lumMod val="60000"/>
              </a:schemeClr>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History'!$C$29:$E$29</c:f>
              <c:numCache>
                <c:formatCode>"$"#,##0_);\("$"#,##0\)</c:formatCode>
                <c:ptCount val="3"/>
                <c:pt idx="0">
                  <c:v>61240</c:v>
                </c:pt>
                <c:pt idx="1">
                  <c:v>62300</c:v>
                </c:pt>
                <c:pt idx="2">
                  <c:v>55200</c:v>
                </c:pt>
              </c:numCache>
            </c:numRef>
          </c:val>
          <c:extLst>
            <c:ext xmlns:c16="http://schemas.microsoft.com/office/drawing/2014/chart" uri="{C3380CC4-5D6E-409C-BE32-E72D297353CC}">
              <c16:uniqueId val="{00000008-0236-4C7A-9CD2-B608C03DDC36}"/>
            </c:ext>
          </c:extLst>
        </c:ser>
        <c:ser>
          <c:idx val="9"/>
          <c:order val="9"/>
          <c:tx>
            <c:strRef>
              <c:f>'Category History'!$B$30</c:f>
              <c:strCache>
                <c:ptCount val="1"/>
                <c:pt idx="0">
                  <c:v>RTF Management</c:v>
                </c:pt>
              </c:strCache>
            </c:strRef>
          </c:tx>
          <c:spPr>
            <a:solidFill>
              <a:schemeClr val="accent4">
                <a:lumMod val="60000"/>
              </a:schemeClr>
            </a:solidFill>
            <a:ln>
              <a:noFill/>
            </a:ln>
            <a:effectLst/>
          </c:spPr>
          <c:invertIfNegative val="0"/>
          <c:cat>
            <c:strRef>
              <c:f>'Category History'!$C$20:$E$20</c:f>
              <c:strCache>
                <c:ptCount val="3"/>
                <c:pt idx="0">
                  <c:v>Proposed 2026 Budget</c:v>
                </c:pt>
                <c:pt idx="1">
                  <c:v>Approved Work Plan Budget 2025</c:v>
                </c:pt>
                <c:pt idx="2">
                  <c:v>Approved Business Plan Budget 2024</c:v>
                </c:pt>
              </c:strCache>
            </c:strRef>
          </c:cat>
          <c:val>
            <c:numRef>
              <c:f>'Category History'!$C$30:$E$30</c:f>
              <c:numCache>
                <c:formatCode>"$"#,##0_);\("$"#,##0\)</c:formatCode>
                <c:ptCount val="3"/>
                <c:pt idx="0">
                  <c:v>183500</c:v>
                </c:pt>
                <c:pt idx="1">
                  <c:v>174200</c:v>
                </c:pt>
                <c:pt idx="2">
                  <c:v>196500</c:v>
                </c:pt>
              </c:numCache>
            </c:numRef>
          </c:val>
          <c:extLst>
            <c:ext xmlns:c16="http://schemas.microsoft.com/office/drawing/2014/chart" uri="{C3380CC4-5D6E-409C-BE32-E72D297353CC}">
              <c16:uniqueId val="{00000009-0236-4C7A-9CD2-B608C03DDC36}"/>
            </c:ext>
          </c:extLst>
        </c:ser>
        <c:dLbls>
          <c:showLegendKey val="0"/>
          <c:showVal val="0"/>
          <c:showCatName val="0"/>
          <c:showSerName val="0"/>
          <c:showPercent val="0"/>
          <c:showBubbleSize val="0"/>
        </c:dLbls>
        <c:gapWidth val="150"/>
        <c:overlap val="100"/>
        <c:axId val="724894528"/>
        <c:axId val="449308704"/>
      </c:barChart>
      <c:catAx>
        <c:axId val="724894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49308704"/>
        <c:crosses val="autoZero"/>
        <c:auto val="1"/>
        <c:lblAlgn val="ctr"/>
        <c:lblOffset val="100"/>
        <c:noMultiLvlLbl val="0"/>
      </c:catAx>
      <c:valAx>
        <c:axId val="449308704"/>
        <c:scaling>
          <c:orientation val="minMax"/>
        </c:scaling>
        <c:delete val="0"/>
        <c:axPos val="l"/>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894528"/>
        <c:crosses val="autoZero"/>
        <c:crossBetween val="between"/>
      </c:valAx>
      <c:spPr>
        <a:noFill/>
        <a:ln>
          <a:noFill/>
        </a:ln>
        <a:effectLst/>
      </c:spPr>
    </c:plotArea>
    <c:legend>
      <c:legendPos val="b"/>
      <c:layout>
        <c:manualLayout>
          <c:xMode val="edge"/>
          <c:yMode val="edge"/>
          <c:x val="0.74780318471206053"/>
          <c:y val="3.3501568087751524E-2"/>
          <c:w val="0.24711581390642459"/>
          <c:h val="0.950254782283933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Funding by Electric</a:t>
            </a:r>
            <a:r>
              <a:rPr lang="en-US" baseline="0"/>
              <a:t> EE, Electric DR and Gas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1"/>
          <c:order val="1"/>
          <c:tx>
            <c:strRef>
              <c:f>'Business Plan (2025-2029)'!$C$90</c:f>
              <c:strCache>
                <c:ptCount val="1"/>
                <c:pt idx="0">
                  <c:v>Electric EE Funds</c:v>
                </c:pt>
              </c:strCache>
            </c:strRef>
          </c:tx>
          <c:spPr>
            <a:solidFill>
              <a:schemeClr val="accent1"/>
            </a:solidFill>
            <a:ln>
              <a:noFill/>
            </a:ln>
            <a:effectLst/>
          </c:spPr>
          <c:invertIfNegative val="0"/>
          <c:cat>
            <c:numRef>
              <c:f>'Business Plan (2025-2029)'!$B$91:$B$95</c:f>
              <c:numCache>
                <c:formatCode>General</c:formatCode>
                <c:ptCount val="5"/>
                <c:pt idx="0">
                  <c:v>2025</c:v>
                </c:pt>
                <c:pt idx="1">
                  <c:v>2026</c:v>
                </c:pt>
                <c:pt idx="2">
                  <c:v>2027</c:v>
                </c:pt>
                <c:pt idx="3">
                  <c:v>2028</c:v>
                </c:pt>
                <c:pt idx="4">
                  <c:v>2029</c:v>
                </c:pt>
              </c:numCache>
            </c:numRef>
          </c:cat>
          <c:val>
            <c:numRef>
              <c:f>'Business Plan (2025-2029)'!$C$91:$C$95</c:f>
              <c:numCache>
                <c:formatCode>"$"#,##0_);\("$"#,##0\)</c:formatCode>
                <c:ptCount val="5"/>
                <c:pt idx="0">
                  <c:v>1577200</c:v>
                </c:pt>
                <c:pt idx="1">
                  <c:v>1632400</c:v>
                </c:pt>
                <c:pt idx="2">
                  <c:v>1689500</c:v>
                </c:pt>
                <c:pt idx="3">
                  <c:v>1748800</c:v>
                </c:pt>
                <c:pt idx="4">
                  <c:v>1810000</c:v>
                </c:pt>
              </c:numCache>
            </c:numRef>
          </c:val>
          <c:extLst>
            <c:ext xmlns:c16="http://schemas.microsoft.com/office/drawing/2014/chart" uri="{C3380CC4-5D6E-409C-BE32-E72D297353CC}">
              <c16:uniqueId val="{00000001-3025-4744-9667-CBD11928320B}"/>
            </c:ext>
          </c:extLst>
        </c:ser>
        <c:ser>
          <c:idx val="2"/>
          <c:order val="2"/>
          <c:tx>
            <c:strRef>
              <c:f>'Business Plan (2025-2029)'!$D$90</c:f>
              <c:strCache>
                <c:ptCount val="1"/>
                <c:pt idx="0">
                  <c:v>Electric DR Funds</c:v>
                </c:pt>
              </c:strCache>
            </c:strRef>
          </c:tx>
          <c:spPr>
            <a:solidFill>
              <a:schemeClr val="accent3"/>
            </a:solidFill>
            <a:ln>
              <a:noFill/>
            </a:ln>
            <a:effectLst/>
          </c:spPr>
          <c:invertIfNegative val="0"/>
          <c:cat>
            <c:numRef>
              <c:f>'Business Plan (2025-2029)'!$B$91:$B$95</c:f>
              <c:numCache>
                <c:formatCode>General</c:formatCode>
                <c:ptCount val="5"/>
                <c:pt idx="0">
                  <c:v>2025</c:v>
                </c:pt>
                <c:pt idx="1">
                  <c:v>2026</c:v>
                </c:pt>
                <c:pt idx="2">
                  <c:v>2027</c:v>
                </c:pt>
                <c:pt idx="3">
                  <c:v>2028</c:v>
                </c:pt>
                <c:pt idx="4">
                  <c:v>2029</c:v>
                </c:pt>
              </c:numCache>
            </c:numRef>
          </c:cat>
          <c:val>
            <c:numRef>
              <c:f>'Business Plan (2025-2029)'!$D$91:$D$95</c:f>
              <c:numCache>
                <c:formatCode>"$"#,##0_);\("$"#,##0\)</c:formatCode>
                <c:ptCount val="5"/>
                <c:pt idx="0">
                  <c:v>120500</c:v>
                </c:pt>
                <c:pt idx="1">
                  <c:v>124800</c:v>
                </c:pt>
                <c:pt idx="2">
                  <c:v>129100</c:v>
                </c:pt>
                <c:pt idx="3">
                  <c:v>133600</c:v>
                </c:pt>
                <c:pt idx="4">
                  <c:v>138300</c:v>
                </c:pt>
              </c:numCache>
            </c:numRef>
          </c:val>
          <c:extLst>
            <c:ext xmlns:c16="http://schemas.microsoft.com/office/drawing/2014/chart" uri="{C3380CC4-5D6E-409C-BE32-E72D297353CC}">
              <c16:uniqueId val="{00000002-3025-4744-9667-CBD11928320B}"/>
            </c:ext>
          </c:extLst>
        </c:ser>
        <c:ser>
          <c:idx val="3"/>
          <c:order val="3"/>
          <c:tx>
            <c:strRef>
              <c:f>'Business Plan (2025-2029)'!$E$90</c:f>
              <c:strCache>
                <c:ptCount val="1"/>
                <c:pt idx="0">
                  <c:v>Gas Funds</c:v>
                </c:pt>
              </c:strCache>
            </c:strRef>
          </c:tx>
          <c:spPr>
            <a:solidFill>
              <a:schemeClr val="accent5"/>
            </a:solidFill>
            <a:ln>
              <a:noFill/>
            </a:ln>
            <a:effectLst/>
          </c:spPr>
          <c:invertIfNegative val="0"/>
          <c:cat>
            <c:numRef>
              <c:f>'Business Plan (2025-2029)'!$B$91:$B$95</c:f>
              <c:numCache>
                <c:formatCode>General</c:formatCode>
                <c:ptCount val="5"/>
                <c:pt idx="0">
                  <c:v>2025</c:v>
                </c:pt>
                <c:pt idx="1">
                  <c:v>2026</c:v>
                </c:pt>
                <c:pt idx="2">
                  <c:v>2027</c:v>
                </c:pt>
                <c:pt idx="3">
                  <c:v>2028</c:v>
                </c:pt>
                <c:pt idx="4">
                  <c:v>2029</c:v>
                </c:pt>
              </c:numCache>
            </c:numRef>
          </c:cat>
          <c:val>
            <c:numRef>
              <c:f>'Business Plan (2025-2029)'!$E$91:$E$95</c:f>
              <c:numCache>
                <c:formatCode>"$"#,##0_);\("$"#,##0\)</c:formatCode>
                <c:ptCount val="5"/>
                <c:pt idx="0">
                  <c:v>408600</c:v>
                </c:pt>
                <c:pt idx="1">
                  <c:v>422900</c:v>
                </c:pt>
                <c:pt idx="2">
                  <c:v>437800</c:v>
                </c:pt>
                <c:pt idx="3">
                  <c:v>453000</c:v>
                </c:pt>
                <c:pt idx="4">
                  <c:v>468800</c:v>
                </c:pt>
              </c:numCache>
            </c:numRef>
          </c:val>
          <c:extLst>
            <c:ext xmlns:c16="http://schemas.microsoft.com/office/drawing/2014/chart" uri="{C3380CC4-5D6E-409C-BE32-E72D297353CC}">
              <c16:uniqueId val="{00000003-3025-4744-9667-CBD11928320B}"/>
            </c:ext>
          </c:extLst>
        </c:ser>
        <c:dLbls>
          <c:showLegendKey val="0"/>
          <c:showVal val="0"/>
          <c:showCatName val="0"/>
          <c:showSerName val="0"/>
          <c:showPercent val="0"/>
          <c:showBubbleSize val="0"/>
        </c:dLbls>
        <c:gapWidth val="150"/>
        <c:overlap val="100"/>
        <c:axId val="1924061520"/>
        <c:axId val="1590258384"/>
        <c:extLst>
          <c:ext xmlns:c15="http://schemas.microsoft.com/office/drawing/2012/chart" uri="{02D57815-91ED-43cb-92C2-25804820EDAC}">
            <c15:filteredBarSeries>
              <c15:ser>
                <c:idx val="0"/>
                <c:order val="0"/>
                <c:tx>
                  <c:strRef>
                    <c:extLst>
                      <c:ext uri="{02D57815-91ED-43cb-92C2-25804820EDAC}">
                        <c15:formulaRef>
                          <c15:sqref>'Business Plan (2025-2029)'!$B$90</c15:sqref>
                        </c15:formulaRef>
                      </c:ext>
                    </c:extLst>
                    <c:strCache>
                      <c:ptCount val="1"/>
                      <c:pt idx="0">
                        <c:v>Strategic Plan Year</c:v>
                      </c:pt>
                    </c:strCache>
                  </c:strRef>
                </c:tx>
                <c:spPr>
                  <a:solidFill>
                    <a:schemeClr val="accent1"/>
                  </a:solidFill>
                  <a:ln>
                    <a:noFill/>
                  </a:ln>
                  <a:effectLst/>
                </c:spPr>
                <c:invertIfNegative val="0"/>
                <c:cat>
                  <c:numRef>
                    <c:extLst>
                      <c:ext uri="{02D57815-91ED-43cb-92C2-25804820EDAC}">
                        <c15:formulaRef>
                          <c15:sqref>'Business Plan (2025-2029)'!$B$91:$B$95</c15:sqref>
                        </c15:formulaRef>
                      </c:ext>
                    </c:extLst>
                    <c:numCache>
                      <c:formatCode>General</c:formatCode>
                      <c:ptCount val="5"/>
                      <c:pt idx="0">
                        <c:v>2025</c:v>
                      </c:pt>
                      <c:pt idx="1">
                        <c:v>2026</c:v>
                      </c:pt>
                      <c:pt idx="2">
                        <c:v>2027</c:v>
                      </c:pt>
                      <c:pt idx="3">
                        <c:v>2028</c:v>
                      </c:pt>
                      <c:pt idx="4">
                        <c:v>2029</c:v>
                      </c:pt>
                    </c:numCache>
                  </c:numRef>
                </c:cat>
                <c:val>
                  <c:numRef>
                    <c:extLst>
                      <c:ext uri="{02D57815-91ED-43cb-92C2-25804820EDAC}">
                        <c15:formulaRef>
                          <c15:sqref>'Business Plan (2025-2029)'!$B$91:$B$95</c15:sqref>
                        </c15:formulaRef>
                      </c:ext>
                    </c:extLst>
                    <c:numCache>
                      <c:formatCode>General</c:formatCode>
                      <c:ptCount val="5"/>
                      <c:pt idx="0">
                        <c:v>2025</c:v>
                      </c:pt>
                      <c:pt idx="1">
                        <c:v>2026</c:v>
                      </c:pt>
                      <c:pt idx="2">
                        <c:v>2027</c:v>
                      </c:pt>
                      <c:pt idx="3">
                        <c:v>2028</c:v>
                      </c:pt>
                      <c:pt idx="4">
                        <c:v>2029</c:v>
                      </c:pt>
                    </c:numCache>
                  </c:numRef>
                </c:val>
                <c:extLst>
                  <c:ext xmlns:c16="http://schemas.microsoft.com/office/drawing/2014/chart" uri="{C3380CC4-5D6E-409C-BE32-E72D297353CC}">
                    <c16:uniqueId val="{00000000-3025-4744-9667-CBD11928320B}"/>
                  </c:ext>
                </c:extLst>
              </c15:ser>
            </c15:filteredBarSeries>
          </c:ext>
        </c:extLst>
      </c:barChart>
      <c:catAx>
        <c:axId val="19240615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90258384"/>
        <c:crosses val="autoZero"/>
        <c:auto val="1"/>
        <c:lblAlgn val="ctr"/>
        <c:lblOffset val="100"/>
        <c:noMultiLvlLbl val="0"/>
      </c:catAx>
      <c:valAx>
        <c:axId val="1590258384"/>
        <c:scaling>
          <c:orientation val="minMax"/>
        </c:scaling>
        <c:delete val="0"/>
        <c:axPos val="l"/>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4061520"/>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'Category History'!$B$49</c:f>
          <c:strCache>
            <c:ptCount val="1"/>
            <c:pt idx="0">
              <c:v>RTF Budgets - Contract RFP Allocation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1416344860215735E-2"/>
          <c:y val="0.10302777777777777"/>
          <c:w val="0.69367428958087185"/>
          <c:h val="0.82419794400699897"/>
        </c:manualLayout>
      </c:layout>
      <c:barChart>
        <c:barDir val="col"/>
        <c:grouping val="stacked"/>
        <c:varyColors val="0"/>
        <c:ser>
          <c:idx val="0"/>
          <c:order val="0"/>
          <c:tx>
            <c:strRef>
              <c:f>'Category History'!$B$50</c:f>
              <c:strCache>
                <c:ptCount val="1"/>
                <c:pt idx="0">
                  <c:v>Existing Measure Review &amp; Updates</c:v>
                </c:pt>
              </c:strCache>
            </c:strRef>
          </c:tx>
          <c:spPr>
            <a:solidFill>
              <a:schemeClr val="accent1"/>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History'!$C$50:$E$50</c:f>
              <c:numCache>
                <c:formatCode>"$"#,##0_);\("$"#,##0\)</c:formatCode>
                <c:ptCount val="3"/>
                <c:pt idx="0" formatCode="&quot;$&quot;#,##0">
                  <c:v>159600</c:v>
                </c:pt>
                <c:pt idx="1">
                  <c:v>159500</c:v>
                </c:pt>
                <c:pt idx="2">
                  <c:v>106000</c:v>
                </c:pt>
              </c:numCache>
            </c:numRef>
          </c:val>
          <c:extLst>
            <c:ext xmlns:c16="http://schemas.microsoft.com/office/drawing/2014/chart" uri="{C3380CC4-5D6E-409C-BE32-E72D297353CC}">
              <c16:uniqueId val="{00000000-4E89-4CBC-BE67-0033E465B30D}"/>
            </c:ext>
          </c:extLst>
        </c:ser>
        <c:ser>
          <c:idx val="1"/>
          <c:order val="1"/>
          <c:tx>
            <c:strRef>
              <c:f>'Category History'!$B$51</c:f>
              <c:strCache>
                <c:ptCount val="1"/>
                <c:pt idx="0">
                  <c:v>New Measure Development &amp; Review of Unsolicited Proposals</c:v>
                </c:pt>
              </c:strCache>
            </c:strRef>
          </c:tx>
          <c:spPr>
            <a:solidFill>
              <a:schemeClr val="accent2"/>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History'!$C$51:$E$51</c:f>
              <c:numCache>
                <c:formatCode>"$"#,##0_);\("$"#,##0\)</c:formatCode>
                <c:ptCount val="3"/>
                <c:pt idx="0" formatCode="&quot;$&quot;#,##0">
                  <c:v>57000</c:v>
                </c:pt>
                <c:pt idx="1">
                  <c:v>16500</c:v>
                </c:pt>
                <c:pt idx="2">
                  <c:v>57400</c:v>
                </c:pt>
              </c:numCache>
            </c:numRef>
          </c:val>
          <c:extLst>
            <c:ext xmlns:c16="http://schemas.microsoft.com/office/drawing/2014/chart" uri="{C3380CC4-5D6E-409C-BE32-E72D297353CC}">
              <c16:uniqueId val="{00000001-4E89-4CBC-BE67-0033E465B30D}"/>
            </c:ext>
          </c:extLst>
        </c:ser>
        <c:ser>
          <c:idx val="2"/>
          <c:order val="2"/>
          <c:tx>
            <c:strRef>
              <c:f>'Category History'!$B$52</c:f>
              <c:strCache>
                <c:ptCount val="1"/>
                <c:pt idx="0">
                  <c:v>Standardization of Technical Analysis</c:v>
                </c:pt>
              </c:strCache>
            </c:strRef>
          </c:tx>
          <c:spPr>
            <a:solidFill>
              <a:schemeClr val="accent3"/>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History'!$C$52:$E$52</c:f>
              <c:numCache>
                <c:formatCode>"$"#,##0_);\("$"#,##0\)</c:formatCode>
                <c:ptCount val="3"/>
                <c:pt idx="0" formatCode="&quot;$&quot;#,##0">
                  <c:v>5000</c:v>
                </c:pt>
                <c:pt idx="1">
                  <c:v>0</c:v>
                </c:pt>
                <c:pt idx="2">
                  <c:v>0</c:v>
                </c:pt>
              </c:numCache>
            </c:numRef>
          </c:val>
          <c:extLst>
            <c:ext xmlns:c16="http://schemas.microsoft.com/office/drawing/2014/chart" uri="{C3380CC4-5D6E-409C-BE32-E72D297353CC}">
              <c16:uniqueId val="{00000002-4E89-4CBC-BE67-0033E465B30D}"/>
            </c:ext>
          </c:extLst>
        </c:ser>
        <c:ser>
          <c:idx val="3"/>
          <c:order val="3"/>
          <c:tx>
            <c:strRef>
              <c:f>'Category History'!$B$53</c:f>
              <c:strCache>
                <c:ptCount val="1"/>
                <c:pt idx="0">
                  <c:v>Tool Development</c:v>
                </c:pt>
              </c:strCache>
            </c:strRef>
          </c:tx>
          <c:spPr>
            <a:solidFill>
              <a:schemeClr val="accent4"/>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History'!$C$53:$E$53</c:f>
              <c:numCache>
                <c:formatCode>"$"#,##0_);\("$"#,##0\)</c:formatCode>
                <c:ptCount val="3"/>
                <c:pt idx="0" formatCode="&quot;$&quot;#,##0">
                  <c:v>36000</c:v>
                </c:pt>
                <c:pt idx="1">
                  <c:v>30000</c:v>
                </c:pt>
                <c:pt idx="2">
                  <c:v>5500</c:v>
                </c:pt>
              </c:numCache>
            </c:numRef>
          </c:val>
          <c:extLst>
            <c:ext xmlns:c16="http://schemas.microsoft.com/office/drawing/2014/chart" uri="{C3380CC4-5D6E-409C-BE32-E72D297353CC}">
              <c16:uniqueId val="{00000003-4E89-4CBC-BE67-0033E465B30D}"/>
            </c:ext>
          </c:extLst>
        </c:ser>
        <c:ser>
          <c:idx val="4"/>
          <c:order val="4"/>
          <c:tx>
            <c:strRef>
              <c:f>'Category History'!$B$54</c:f>
              <c:strCache>
                <c:ptCount val="1"/>
                <c:pt idx="0">
                  <c:v>Regional Coordination</c:v>
                </c:pt>
              </c:strCache>
            </c:strRef>
          </c:tx>
          <c:spPr>
            <a:solidFill>
              <a:schemeClr val="accent5"/>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History'!$C$54:$E$54</c:f>
              <c:numCache>
                <c:formatCode>"$"#,##0_);\("$"#,##0\)</c:formatCode>
                <c:ptCount val="3"/>
                <c:pt idx="0" formatCode="&quot;$&quot;#,##0">
                  <c:v>70750</c:v>
                </c:pt>
                <c:pt idx="1">
                  <c:v>81500</c:v>
                </c:pt>
                <c:pt idx="2">
                  <c:v>27600</c:v>
                </c:pt>
              </c:numCache>
            </c:numRef>
          </c:val>
          <c:extLst>
            <c:ext xmlns:c16="http://schemas.microsoft.com/office/drawing/2014/chart" uri="{C3380CC4-5D6E-409C-BE32-E72D297353CC}">
              <c16:uniqueId val="{00000004-4E89-4CBC-BE67-0033E465B30D}"/>
            </c:ext>
          </c:extLst>
        </c:ser>
        <c:ser>
          <c:idx val="5"/>
          <c:order val="5"/>
          <c:tx>
            <c:strRef>
              <c:f>'Category History'!$B$55</c:f>
              <c:strCache>
                <c:ptCount val="1"/>
                <c:pt idx="0">
                  <c:v>Demand Response</c:v>
                </c:pt>
              </c:strCache>
            </c:strRef>
          </c:tx>
          <c:spPr>
            <a:solidFill>
              <a:schemeClr val="accent6"/>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History'!$C$55:$E$55</c:f>
              <c:numCache>
                <c:formatCode>"$"#,##0_);\("$"#,##0\)</c:formatCode>
                <c:ptCount val="3"/>
                <c:pt idx="0" formatCode="&quot;$&quot;#,##0">
                  <c:v>5700</c:v>
                </c:pt>
                <c:pt idx="1">
                  <c:v>40000</c:v>
                </c:pt>
                <c:pt idx="2">
                  <c:v>0</c:v>
                </c:pt>
              </c:numCache>
            </c:numRef>
          </c:val>
          <c:extLst>
            <c:ext xmlns:c16="http://schemas.microsoft.com/office/drawing/2014/chart" uri="{C3380CC4-5D6E-409C-BE32-E72D297353CC}">
              <c16:uniqueId val="{00000005-4E89-4CBC-BE67-0033E465B30D}"/>
            </c:ext>
          </c:extLst>
        </c:ser>
        <c:ser>
          <c:idx val="6"/>
          <c:order val="6"/>
          <c:tx>
            <c:strRef>
              <c:f>'Category History'!$B$56</c:f>
              <c:strCache>
                <c:ptCount val="1"/>
                <c:pt idx="0">
                  <c:v>Planning Measure Research</c:v>
                </c:pt>
              </c:strCache>
            </c:strRef>
          </c:tx>
          <c:spPr>
            <a:solidFill>
              <a:schemeClr val="accent1">
                <a:lumMod val="60000"/>
              </a:schemeClr>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History'!$C$56:$E$56</c:f>
              <c:numCache>
                <c:formatCode>"$"#,##0_);\("$"#,##0\)</c:formatCode>
                <c:ptCount val="3"/>
                <c:pt idx="0" formatCode="&quot;$&quot;#,##0">
                  <c:v>66800</c:v>
                </c:pt>
              </c:numCache>
            </c:numRef>
          </c:val>
          <c:extLst>
            <c:ext xmlns:c16="http://schemas.microsoft.com/office/drawing/2014/chart" uri="{C3380CC4-5D6E-409C-BE32-E72D297353CC}">
              <c16:uniqueId val="{00000006-4E89-4CBC-BE67-0033E465B30D}"/>
            </c:ext>
          </c:extLst>
        </c:ser>
        <c:ser>
          <c:idx val="7"/>
          <c:order val="7"/>
          <c:tx>
            <c:strRef>
              <c:f>'Category History'!$B$57</c:f>
              <c:strCache>
                <c:ptCount val="1"/>
                <c:pt idx="0">
                  <c:v>RTF Member Support &amp; Administration</c:v>
                </c:pt>
              </c:strCache>
            </c:strRef>
          </c:tx>
          <c:spPr>
            <a:solidFill>
              <a:schemeClr val="accent2">
                <a:lumMod val="60000"/>
              </a:schemeClr>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History'!$C$57:$E$57</c:f>
              <c:numCache>
                <c:formatCode>"$"#,##0_);\("$"#,##0\)</c:formatCode>
                <c:ptCount val="3"/>
                <c:pt idx="0" formatCode="&quot;$&quot;#,##0">
                  <c:v>133660</c:v>
                </c:pt>
                <c:pt idx="1">
                  <c:v>171900</c:v>
                </c:pt>
                <c:pt idx="2">
                  <c:v>179900</c:v>
                </c:pt>
              </c:numCache>
            </c:numRef>
          </c:val>
          <c:extLst>
            <c:ext xmlns:c16="http://schemas.microsoft.com/office/drawing/2014/chart" uri="{C3380CC4-5D6E-409C-BE32-E72D297353CC}">
              <c16:uniqueId val="{00000007-4E89-4CBC-BE67-0033E465B30D}"/>
            </c:ext>
          </c:extLst>
        </c:ser>
        <c:ser>
          <c:idx val="8"/>
          <c:order val="8"/>
          <c:tx>
            <c:strRef>
              <c:f>'Category History'!$B$58</c:f>
              <c:strCache>
                <c:ptCount val="1"/>
                <c:pt idx="0">
                  <c:v>Website, Database support, Conservation Tracking </c:v>
                </c:pt>
              </c:strCache>
            </c:strRef>
          </c:tx>
          <c:spPr>
            <a:solidFill>
              <a:schemeClr val="accent3">
                <a:lumMod val="60000"/>
              </a:schemeClr>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History'!$C$58:$E$58</c:f>
              <c:numCache>
                <c:formatCode>"$"#,##0_);\("$"#,##0\)</c:formatCode>
                <c:ptCount val="3"/>
                <c:pt idx="0" formatCode="&quot;$&quot;#,##0">
                  <c:v>61240</c:v>
                </c:pt>
                <c:pt idx="1">
                  <c:v>62300</c:v>
                </c:pt>
                <c:pt idx="2">
                  <c:v>55200</c:v>
                </c:pt>
              </c:numCache>
            </c:numRef>
          </c:val>
          <c:extLst>
            <c:ext xmlns:c16="http://schemas.microsoft.com/office/drawing/2014/chart" uri="{C3380CC4-5D6E-409C-BE32-E72D297353CC}">
              <c16:uniqueId val="{00000008-4E89-4CBC-BE67-0033E465B30D}"/>
            </c:ext>
          </c:extLst>
        </c:ser>
        <c:ser>
          <c:idx val="9"/>
          <c:order val="9"/>
          <c:tx>
            <c:strRef>
              <c:f>'Category History'!$B$59</c:f>
              <c:strCache>
                <c:ptCount val="1"/>
                <c:pt idx="0">
                  <c:v>RTF Management</c:v>
                </c:pt>
              </c:strCache>
            </c:strRef>
          </c:tx>
          <c:spPr>
            <a:solidFill>
              <a:schemeClr val="accent4">
                <a:lumMod val="60000"/>
              </a:schemeClr>
            </a:solidFill>
            <a:ln>
              <a:noFill/>
            </a:ln>
            <a:effectLst/>
          </c:spPr>
          <c:invertIfNegative val="0"/>
          <c:cat>
            <c:strRef>
              <c:f>'Category History'!$C$49:$E$49</c:f>
              <c:strCache>
                <c:ptCount val="3"/>
                <c:pt idx="0">
                  <c:v>Proposed 2026 Budget</c:v>
                </c:pt>
                <c:pt idx="1">
                  <c:v>Approved Work Plan Budget 2025</c:v>
                </c:pt>
                <c:pt idx="2">
                  <c:v>Approved Business Plan Budget 2024</c:v>
                </c:pt>
              </c:strCache>
            </c:strRef>
          </c:cat>
          <c:val>
            <c:numRef>
              <c:f>'Category History'!$C$59:$E$59</c:f>
              <c:numCache>
                <c:formatCode>"$"#,##0_);\("$"#,##0\)</c:formatCode>
                <c:ptCount val="3"/>
                <c:pt idx="0" formatCode="&quot;$&quot;#,##0">
                  <c:v>7500</c:v>
                </c:pt>
                <c:pt idx="1">
                  <c:v>7200</c:v>
                </c:pt>
                <c:pt idx="2">
                  <c:v>4400</c:v>
                </c:pt>
              </c:numCache>
            </c:numRef>
          </c:val>
          <c:extLst>
            <c:ext xmlns:c16="http://schemas.microsoft.com/office/drawing/2014/chart" uri="{C3380CC4-5D6E-409C-BE32-E72D297353CC}">
              <c16:uniqueId val="{00000009-4E89-4CBC-BE67-0033E465B30D}"/>
            </c:ext>
          </c:extLst>
        </c:ser>
        <c:dLbls>
          <c:showLegendKey val="0"/>
          <c:showVal val="0"/>
          <c:showCatName val="0"/>
          <c:showSerName val="0"/>
          <c:showPercent val="0"/>
          <c:showBubbleSize val="0"/>
        </c:dLbls>
        <c:gapWidth val="150"/>
        <c:overlap val="100"/>
        <c:axId val="724740400"/>
        <c:axId val="455754160"/>
      </c:barChart>
      <c:catAx>
        <c:axId val="72474040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455754160"/>
        <c:crosses val="autoZero"/>
        <c:auto val="1"/>
        <c:lblAlgn val="ctr"/>
        <c:lblOffset val="100"/>
        <c:noMultiLvlLbl val="0"/>
      </c:catAx>
      <c:valAx>
        <c:axId val="455754160"/>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4740400"/>
        <c:crosses val="autoZero"/>
        <c:crossBetween val="between"/>
      </c:valAx>
      <c:spPr>
        <a:noFill/>
        <a:ln>
          <a:noFill/>
        </a:ln>
        <a:effectLst/>
      </c:spPr>
    </c:plotArea>
    <c:legend>
      <c:legendPos val="b"/>
      <c:layout>
        <c:manualLayout>
          <c:xMode val="edge"/>
          <c:yMode val="edge"/>
          <c:x val="0.75723651518635704"/>
          <c:y val="2.7776465441819831E-2"/>
          <c:w val="0.23137289107743711"/>
          <c:h val="0.95555686789151351"/>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'Category History'!$B$78</c:f>
          <c:strCache>
            <c:ptCount val="1"/>
            <c:pt idx="0">
              <c:v>RTF Budgets - Contract Analyst Team Allocation</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5.8554897405195955E-2"/>
          <c:y val="0.10302777777777777"/>
          <c:w val="0.69178078570994339"/>
          <c:h val="0.82462926509186374"/>
        </c:manualLayout>
      </c:layout>
      <c:barChart>
        <c:barDir val="col"/>
        <c:grouping val="stacked"/>
        <c:varyColors val="0"/>
        <c:ser>
          <c:idx val="0"/>
          <c:order val="0"/>
          <c:tx>
            <c:strRef>
              <c:f>'Category History'!$B$79</c:f>
              <c:strCache>
                <c:ptCount val="1"/>
                <c:pt idx="0">
                  <c:v>Existing Measure Review &amp; Updates</c:v>
                </c:pt>
              </c:strCache>
            </c:strRef>
          </c:tx>
          <c:spPr>
            <a:solidFill>
              <a:schemeClr val="accent1"/>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History'!$C$79:$E$79</c:f>
              <c:numCache>
                <c:formatCode>"$"#,##0_);\("$"#,##0\)</c:formatCode>
                <c:ptCount val="3"/>
                <c:pt idx="0" formatCode="&quot;$&quot;#,##0">
                  <c:v>478800</c:v>
                </c:pt>
                <c:pt idx="1">
                  <c:v>478500</c:v>
                </c:pt>
                <c:pt idx="2">
                  <c:v>397400</c:v>
                </c:pt>
              </c:numCache>
            </c:numRef>
          </c:val>
          <c:extLst>
            <c:ext xmlns:c16="http://schemas.microsoft.com/office/drawing/2014/chart" uri="{C3380CC4-5D6E-409C-BE32-E72D297353CC}">
              <c16:uniqueId val="{00000000-46CA-445A-BA8B-1E191B3298D8}"/>
            </c:ext>
          </c:extLst>
        </c:ser>
        <c:ser>
          <c:idx val="1"/>
          <c:order val="1"/>
          <c:tx>
            <c:strRef>
              <c:f>'Category History'!$B$80</c:f>
              <c:strCache>
                <c:ptCount val="1"/>
                <c:pt idx="0">
                  <c:v>New Measure Development &amp; Review of Unsolicited Proposals</c:v>
                </c:pt>
              </c:strCache>
            </c:strRef>
          </c:tx>
          <c:spPr>
            <a:solidFill>
              <a:schemeClr val="accent2"/>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History'!$C$80:$E$80</c:f>
              <c:numCache>
                <c:formatCode>"$"#,##0_);\("$"#,##0\)</c:formatCode>
                <c:ptCount val="3"/>
                <c:pt idx="0" formatCode="&quot;$&quot;#,##0">
                  <c:v>435000</c:v>
                </c:pt>
                <c:pt idx="1">
                  <c:v>210000</c:v>
                </c:pt>
                <c:pt idx="2">
                  <c:v>270400</c:v>
                </c:pt>
              </c:numCache>
            </c:numRef>
          </c:val>
          <c:extLst>
            <c:ext xmlns:c16="http://schemas.microsoft.com/office/drawing/2014/chart" uri="{C3380CC4-5D6E-409C-BE32-E72D297353CC}">
              <c16:uniqueId val="{00000001-46CA-445A-BA8B-1E191B3298D8}"/>
            </c:ext>
          </c:extLst>
        </c:ser>
        <c:ser>
          <c:idx val="2"/>
          <c:order val="2"/>
          <c:tx>
            <c:strRef>
              <c:f>'Category History'!$B$81</c:f>
              <c:strCache>
                <c:ptCount val="1"/>
                <c:pt idx="0">
                  <c:v>Standardization of Technical Analysis</c:v>
                </c:pt>
              </c:strCache>
            </c:strRef>
          </c:tx>
          <c:spPr>
            <a:solidFill>
              <a:schemeClr val="accent3"/>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History'!$C$81:$E$81</c:f>
              <c:numCache>
                <c:formatCode>"$"#,##0_);\("$"#,##0\)</c:formatCode>
                <c:ptCount val="3"/>
                <c:pt idx="0" formatCode="&quot;$&quot;#,##0">
                  <c:v>191000</c:v>
                </c:pt>
                <c:pt idx="1">
                  <c:v>184500</c:v>
                </c:pt>
                <c:pt idx="2">
                  <c:v>198700</c:v>
                </c:pt>
              </c:numCache>
            </c:numRef>
          </c:val>
          <c:extLst>
            <c:ext xmlns:c16="http://schemas.microsoft.com/office/drawing/2014/chart" uri="{C3380CC4-5D6E-409C-BE32-E72D297353CC}">
              <c16:uniqueId val="{00000002-46CA-445A-BA8B-1E191B3298D8}"/>
            </c:ext>
          </c:extLst>
        </c:ser>
        <c:ser>
          <c:idx val="3"/>
          <c:order val="3"/>
          <c:tx>
            <c:strRef>
              <c:f>'Category History'!$B$82</c:f>
              <c:strCache>
                <c:ptCount val="1"/>
                <c:pt idx="0">
                  <c:v>Tool Development</c:v>
                </c:pt>
              </c:strCache>
            </c:strRef>
          </c:tx>
          <c:spPr>
            <a:solidFill>
              <a:schemeClr val="accent4"/>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History'!$C$82:$E$82</c:f>
              <c:numCache>
                <c:formatCode>"$"#,##0_);\("$"#,##0\)</c:formatCode>
                <c:ptCount val="3"/>
                <c:pt idx="0" formatCode="&quot;$&quot;#,##0">
                  <c:v>70000</c:v>
                </c:pt>
                <c:pt idx="1">
                  <c:v>158000</c:v>
                </c:pt>
                <c:pt idx="2">
                  <c:v>124700</c:v>
                </c:pt>
              </c:numCache>
            </c:numRef>
          </c:val>
          <c:extLst>
            <c:ext xmlns:c16="http://schemas.microsoft.com/office/drawing/2014/chart" uri="{C3380CC4-5D6E-409C-BE32-E72D297353CC}">
              <c16:uniqueId val="{0000000A-46CA-445A-BA8B-1E191B3298D8}"/>
            </c:ext>
          </c:extLst>
        </c:ser>
        <c:ser>
          <c:idx val="4"/>
          <c:order val="4"/>
          <c:tx>
            <c:strRef>
              <c:f>'Category History'!$B$83</c:f>
              <c:strCache>
                <c:ptCount val="1"/>
                <c:pt idx="0">
                  <c:v>Regional Coordination</c:v>
                </c:pt>
              </c:strCache>
            </c:strRef>
          </c:tx>
          <c:spPr>
            <a:solidFill>
              <a:schemeClr val="accent5"/>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History'!$C$83:$E$83</c:f>
              <c:numCache>
                <c:formatCode>"$"#,##0_);\("$"#,##0\)</c:formatCode>
                <c:ptCount val="3"/>
                <c:pt idx="0" formatCode="&quot;$&quot;#,##0">
                  <c:v>91900</c:v>
                </c:pt>
                <c:pt idx="1">
                  <c:v>143200</c:v>
                </c:pt>
                <c:pt idx="2">
                  <c:v>187600</c:v>
                </c:pt>
              </c:numCache>
            </c:numRef>
          </c:val>
          <c:extLst>
            <c:ext xmlns:c16="http://schemas.microsoft.com/office/drawing/2014/chart" uri="{C3380CC4-5D6E-409C-BE32-E72D297353CC}">
              <c16:uniqueId val="{0000000B-46CA-445A-BA8B-1E191B3298D8}"/>
            </c:ext>
          </c:extLst>
        </c:ser>
        <c:ser>
          <c:idx val="5"/>
          <c:order val="5"/>
          <c:tx>
            <c:strRef>
              <c:f>'Category History'!$B$84</c:f>
              <c:strCache>
                <c:ptCount val="1"/>
                <c:pt idx="0">
                  <c:v>Demand Response</c:v>
                </c:pt>
              </c:strCache>
            </c:strRef>
          </c:tx>
          <c:spPr>
            <a:solidFill>
              <a:schemeClr val="accent6"/>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History'!$C$84:$E$84</c:f>
              <c:numCache>
                <c:formatCode>"$"#,##0_);\("$"#,##0\)</c:formatCode>
                <c:ptCount val="3"/>
                <c:pt idx="0" formatCode="&quot;$&quot;#,##0">
                  <c:v>78250</c:v>
                </c:pt>
                <c:pt idx="1">
                  <c:v>36200</c:v>
                </c:pt>
                <c:pt idx="2">
                  <c:v>55200</c:v>
                </c:pt>
              </c:numCache>
            </c:numRef>
          </c:val>
          <c:extLst>
            <c:ext xmlns:c16="http://schemas.microsoft.com/office/drawing/2014/chart" uri="{C3380CC4-5D6E-409C-BE32-E72D297353CC}">
              <c16:uniqueId val="{0000000C-46CA-445A-BA8B-1E191B3298D8}"/>
            </c:ext>
          </c:extLst>
        </c:ser>
        <c:ser>
          <c:idx val="6"/>
          <c:order val="6"/>
          <c:tx>
            <c:strRef>
              <c:f>'Category History'!$B$85</c:f>
              <c:strCache>
                <c:ptCount val="1"/>
                <c:pt idx="0">
                  <c:v>Planning Measure Research</c:v>
                </c:pt>
              </c:strCache>
            </c:strRef>
          </c:tx>
          <c:spPr>
            <a:solidFill>
              <a:schemeClr val="accent1">
                <a:lumMod val="60000"/>
              </a:schemeClr>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History'!$C$85:$E$85</c:f>
              <c:numCache>
                <c:formatCode>"$"#,##0_);\("$"#,##0\)</c:formatCode>
                <c:ptCount val="3"/>
                <c:pt idx="0" formatCode="&quot;$&quot;#,##0">
                  <c:v>10000</c:v>
                </c:pt>
              </c:numCache>
            </c:numRef>
          </c:val>
          <c:extLst>
            <c:ext xmlns:c16="http://schemas.microsoft.com/office/drawing/2014/chart" uri="{C3380CC4-5D6E-409C-BE32-E72D297353CC}">
              <c16:uniqueId val="{0000000D-46CA-445A-BA8B-1E191B3298D8}"/>
            </c:ext>
          </c:extLst>
        </c:ser>
        <c:ser>
          <c:idx val="7"/>
          <c:order val="7"/>
          <c:tx>
            <c:strRef>
              <c:f>'Category History'!$B$86</c:f>
              <c:strCache>
                <c:ptCount val="1"/>
                <c:pt idx="0">
                  <c:v>RTF Member Support &amp; Administration</c:v>
                </c:pt>
              </c:strCache>
            </c:strRef>
          </c:tx>
          <c:spPr>
            <a:solidFill>
              <a:schemeClr val="accent2">
                <a:lumMod val="60000"/>
              </a:schemeClr>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History'!$C$86:$E$86</c:f>
              <c:numCache>
                <c:formatCode>"$"#,##0_);\("$"#,##0\)</c:formatCode>
                <c:ptCount val="3"/>
                <c:pt idx="0" formatCode="&quot;$&quot;#,##0">
                  <c:v>168900</c:v>
                </c:pt>
                <c:pt idx="1">
                  <c:v>110000</c:v>
                </c:pt>
                <c:pt idx="2">
                  <c:v>124700</c:v>
                </c:pt>
              </c:numCache>
            </c:numRef>
          </c:val>
          <c:extLst>
            <c:ext xmlns:c16="http://schemas.microsoft.com/office/drawing/2014/chart" uri="{C3380CC4-5D6E-409C-BE32-E72D297353CC}">
              <c16:uniqueId val="{0000000E-46CA-445A-BA8B-1E191B3298D8}"/>
            </c:ext>
          </c:extLst>
        </c:ser>
        <c:ser>
          <c:idx val="8"/>
          <c:order val="8"/>
          <c:tx>
            <c:strRef>
              <c:f>'Category History'!$B$87</c:f>
              <c:strCache>
                <c:ptCount val="1"/>
                <c:pt idx="0">
                  <c:v>Website, Database support, Conservation Tracking </c:v>
                </c:pt>
              </c:strCache>
            </c:strRef>
          </c:tx>
          <c:spPr>
            <a:solidFill>
              <a:schemeClr val="accent3">
                <a:lumMod val="60000"/>
              </a:schemeClr>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History'!$C$87:$E$87</c:f>
              <c:numCache>
                <c:formatCode>"$"#,##0_);\("$"#,##0\)</c:formatCode>
                <c:ptCount val="3"/>
                <c:pt idx="0" formatCode="&quot;$&quot;#,##0">
                  <c:v>0</c:v>
                </c:pt>
                <c:pt idx="1">
                  <c:v>0</c:v>
                </c:pt>
                <c:pt idx="2">
                  <c:v>0</c:v>
                </c:pt>
              </c:numCache>
            </c:numRef>
          </c:val>
          <c:extLst>
            <c:ext xmlns:c16="http://schemas.microsoft.com/office/drawing/2014/chart" uri="{C3380CC4-5D6E-409C-BE32-E72D297353CC}">
              <c16:uniqueId val="{0000000F-46CA-445A-BA8B-1E191B3298D8}"/>
            </c:ext>
          </c:extLst>
        </c:ser>
        <c:ser>
          <c:idx val="9"/>
          <c:order val="9"/>
          <c:tx>
            <c:strRef>
              <c:f>'Category History'!$B$88</c:f>
              <c:strCache>
                <c:ptCount val="1"/>
                <c:pt idx="0">
                  <c:v>RTF Management</c:v>
                </c:pt>
              </c:strCache>
            </c:strRef>
          </c:tx>
          <c:spPr>
            <a:solidFill>
              <a:schemeClr val="accent4">
                <a:lumMod val="60000"/>
              </a:schemeClr>
            </a:solidFill>
            <a:ln>
              <a:noFill/>
            </a:ln>
            <a:effectLst/>
          </c:spPr>
          <c:invertIfNegative val="0"/>
          <c:cat>
            <c:strRef>
              <c:f>'Category History'!$C$78:$E$78</c:f>
              <c:strCache>
                <c:ptCount val="3"/>
                <c:pt idx="0">
                  <c:v>Proposed 2026 Budget</c:v>
                </c:pt>
                <c:pt idx="1">
                  <c:v>Approved Work Plan Budget 2025</c:v>
                </c:pt>
                <c:pt idx="2">
                  <c:v>Approved Business Plan Budget 2024</c:v>
                </c:pt>
              </c:strCache>
            </c:strRef>
          </c:cat>
          <c:val>
            <c:numRef>
              <c:f>'Category History'!$C$88:$E$88</c:f>
              <c:numCache>
                <c:formatCode>"$"#,##0_);\("$"#,##0\)</c:formatCode>
                <c:ptCount val="3"/>
                <c:pt idx="0" formatCode="&quot;$&quot;#,##0">
                  <c:v>5000</c:v>
                </c:pt>
                <c:pt idx="1">
                  <c:v>5000</c:v>
                </c:pt>
                <c:pt idx="2">
                  <c:v>0</c:v>
                </c:pt>
              </c:numCache>
            </c:numRef>
          </c:val>
          <c:extLst>
            <c:ext xmlns:c16="http://schemas.microsoft.com/office/drawing/2014/chart" uri="{C3380CC4-5D6E-409C-BE32-E72D297353CC}">
              <c16:uniqueId val="{00000010-46CA-445A-BA8B-1E191B3298D8}"/>
            </c:ext>
          </c:extLst>
        </c:ser>
        <c:dLbls>
          <c:showLegendKey val="0"/>
          <c:showVal val="0"/>
          <c:showCatName val="0"/>
          <c:showSerName val="0"/>
          <c:showPercent val="0"/>
          <c:showBubbleSize val="0"/>
        </c:dLbls>
        <c:gapWidth val="150"/>
        <c:overlap val="100"/>
        <c:axId val="759203808"/>
        <c:axId val="754183296"/>
      </c:barChart>
      <c:catAx>
        <c:axId val="75920380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4183296"/>
        <c:crosses val="autoZero"/>
        <c:auto val="1"/>
        <c:lblAlgn val="ctr"/>
        <c:lblOffset val="100"/>
        <c:noMultiLvlLbl val="0"/>
      </c:catAx>
      <c:valAx>
        <c:axId val="754183296"/>
        <c:scaling>
          <c:orientation val="minMax"/>
        </c:scaling>
        <c:delete val="0"/>
        <c:axPos val="l"/>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59203808"/>
        <c:crosses val="autoZero"/>
        <c:crossBetween val="between"/>
      </c:valAx>
      <c:spPr>
        <a:noFill/>
        <a:ln>
          <a:noFill/>
        </a:ln>
        <a:effectLst/>
      </c:spPr>
    </c:plotArea>
    <c:legend>
      <c:legendPos val="b"/>
      <c:layout>
        <c:manualLayout>
          <c:xMode val="edge"/>
          <c:yMode val="edge"/>
          <c:x val="0.7551384957167363"/>
          <c:y val="3.6109798775153162E-2"/>
          <c:w val="0.23556893001667847"/>
          <c:h val="0.94722353455817998"/>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'Category History'!$N$19</c:f>
          <c:strCache>
            <c:ptCount val="1"/>
            <c:pt idx="0">
              <c:v>Percentage of RTF Budget by Category</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4.5704806310000137E-2"/>
          <c:y val="0.10302777777777777"/>
          <c:w val="0.71900105182451257"/>
          <c:h val="0.81343372703412076"/>
        </c:manualLayout>
      </c:layout>
      <c:barChart>
        <c:barDir val="col"/>
        <c:grouping val="percentStacked"/>
        <c:varyColors val="0"/>
        <c:ser>
          <c:idx val="0"/>
          <c:order val="0"/>
          <c:tx>
            <c:strRef>
              <c:f>'Category History'!$N$20</c:f>
              <c:strCache>
                <c:ptCount val="1"/>
                <c:pt idx="0">
                  <c:v>Existing Measure Review &amp; Updates</c:v>
                </c:pt>
              </c:strCache>
            </c:strRef>
          </c:tx>
          <c:spPr>
            <a:solidFill>
              <a:schemeClr val="accent1"/>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History'!$O$20:$Q$20</c:f>
              <c:numCache>
                <c:formatCode>0%</c:formatCode>
                <c:ptCount val="3"/>
                <c:pt idx="0">
                  <c:v>0.27719161130649994</c:v>
                </c:pt>
                <c:pt idx="1">
                  <c:v>0.30290082134548735</c:v>
                </c:pt>
                <c:pt idx="2">
                  <c:v>0.25332192470304005</c:v>
                </c:pt>
              </c:numCache>
            </c:numRef>
          </c:val>
          <c:extLst>
            <c:ext xmlns:c16="http://schemas.microsoft.com/office/drawing/2014/chart" uri="{C3380CC4-5D6E-409C-BE32-E72D297353CC}">
              <c16:uniqueId val="{00000000-4128-489B-B72F-26C8969D18A3}"/>
            </c:ext>
          </c:extLst>
        </c:ser>
        <c:ser>
          <c:idx val="1"/>
          <c:order val="1"/>
          <c:tx>
            <c:strRef>
              <c:f>'Category History'!$N$21</c:f>
              <c:strCache>
                <c:ptCount val="1"/>
                <c:pt idx="0">
                  <c:v>New Measure Development &amp; Review of Unsolicited Proposals</c:v>
                </c:pt>
              </c:strCache>
            </c:strRef>
          </c:tx>
          <c:spPr>
            <a:solidFill>
              <a:schemeClr val="accent2"/>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History'!$O$21:$Q$21</c:f>
              <c:numCache>
                <c:formatCode>0%</c:formatCode>
                <c:ptCount val="3"/>
                <c:pt idx="0">
                  <c:v>0.21362511397681386</c:v>
                </c:pt>
                <c:pt idx="1">
                  <c:v>0.10753453923942459</c:v>
                </c:pt>
                <c:pt idx="2">
                  <c:v>0.16498892691765654</c:v>
                </c:pt>
              </c:numCache>
            </c:numRef>
          </c:val>
          <c:extLst>
            <c:ext xmlns:c16="http://schemas.microsoft.com/office/drawing/2014/chart" uri="{C3380CC4-5D6E-409C-BE32-E72D297353CC}">
              <c16:uniqueId val="{00000001-4128-489B-B72F-26C8969D18A3}"/>
            </c:ext>
          </c:extLst>
        </c:ser>
        <c:ser>
          <c:idx val="2"/>
          <c:order val="2"/>
          <c:tx>
            <c:strRef>
              <c:f>'Category History'!$N$22</c:f>
              <c:strCache>
                <c:ptCount val="1"/>
                <c:pt idx="0">
                  <c:v>Standardization of Technical Analysis</c:v>
                </c:pt>
              </c:strCache>
            </c:strRef>
          </c:tx>
          <c:spPr>
            <a:solidFill>
              <a:schemeClr val="accent3"/>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History'!$O$22:$Q$22</c:f>
              <c:numCache>
                <c:formatCode>0%</c:formatCode>
                <c:ptCount val="3"/>
                <c:pt idx="0">
                  <c:v>8.5102687681820152E-2</c:v>
                </c:pt>
                <c:pt idx="1">
                  <c:v>8.7594359777809425E-2</c:v>
                </c:pt>
                <c:pt idx="2">
                  <c:v>0.10001006643849406</c:v>
                </c:pt>
              </c:numCache>
            </c:numRef>
          </c:val>
          <c:extLst>
            <c:ext xmlns:c16="http://schemas.microsoft.com/office/drawing/2014/chart" uri="{C3380CC4-5D6E-409C-BE32-E72D297353CC}">
              <c16:uniqueId val="{00000002-4128-489B-B72F-26C8969D18A3}"/>
            </c:ext>
          </c:extLst>
        </c:ser>
        <c:ser>
          <c:idx val="3"/>
          <c:order val="3"/>
          <c:tx>
            <c:strRef>
              <c:f>'Category History'!$N$23</c:f>
              <c:strCache>
                <c:ptCount val="1"/>
                <c:pt idx="0">
                  <c:v>Tool Development</c:v>
                </c:pt>
              </c:strCache>
            </c:strRef>
          </c:tx>
          <c:spPr>
            <a:solidFill>
              <a:schemeClr val="accent4"/>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History'!$O$23:$Q$23</c:f>
              <c:numCache>
                <c:formatCode>0%</c:formatCode>
                <c:ptCount val="3"/>
                <c:pt idx="0">
                  <c:v>4.6024922929963963E-2</c:v>
                </c:pt>
                <c:pt idx="1">
                  <c:v>8.9256041399610686E-2</c:v>
                </c:pt>
                <c:pt idx="2">
                  <c:v>6.5532514596335814E-2</c:v>
                </c:pt>
              </c:numCache>
            </c:numRef>
          </c:val>
          <c:extLst>
            <c:ext xmlns:c16="http://schemas.microsoft.com/office/drawing/2014/chart" uri="{C3380CC4-5D6E-409C-BE32-E72D297353CC}">
              <c16:uniqueId val="{00000003-4128-489B-B72F-26C8969D18A3}"/>
            </c:ext>
          </c:extLst>
        </c:ser>
        <c:ser>
          <c:idx val="4"/>
          <c:order val="4"/>
          <c:tx>
            <c:strRef>
              <c:f>'Category History'!$N$24</c:f>
              <c:strCache>
                <c:ptCount val="1"/>
                <c:pt idx="0">
                  <c:v>Regional Coordination</c:v>
                </c:pt>
              </c:strCache>
            </c:strRef>
          </c:tx>
          <c:spPr>
            <a:solidFill>
              <a:schemeClr val="accent5"/>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History'!$O$24:$Q$24</c:f>
              <c:numCache>
                <c:formatCode>0%</c:formatCode>
                <c:ptCount val="3"/>
                <c:pt idx="0">
                  <c:v>7.0622204854326784E-2</c:v>
                </c:pt>
                <c:pt idx="1">
                  <c:v>0.10667996011964108</c:v>
                </c:pt>
                <c:pt idx="2">
                  <c:v>0.10831487819609423</c:v>
                </c:pt>
              </c:numCache>
            </c:numRef>
          </c:val>
          <c:extLst>
            <c:ext xmlns:c16="http://schemas.microsoft.com/office/drawing/2014/chart" uri="{C3380CC4-5D6E-409C-BE32-E72D297353CC}">
              <c16:uniqueId val="{00000004-4128-489B-B72F-26C8969D18A3}"/>
            </c:ext>
          </c:extLst>
        </c:ser>
        <c:ser>
          <c:idx val="5"/>
          <c:order val="5"/>
          <c:tx>
            <c:strRef>
              <c:f>'Category History'!$N$25</c:f>
              <c:strCache>
                <c:ptCount val="1"/>
                <c:pt idx="0">
                  <c:v>Demand Response</c:v>
                </c:pt>
              </c:strCache>
            </c:strRef>
          </c:tx>
          <c:spPr>
            <a:solidFill>
              <a:schemeClr val="accent6"/>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History'!$O$25:$Q$25</c:f>
              <c:numCache>
                <c:formatCode>0%</c:formatCode>
                <c:ptCount val="3"/>
                <c:pt idx="0">
                  <c:v>3.6450870565759193E-2</c:v>
                </c:pt>
                <c:pt idx="1">
                  <c:v>3.6177182737501777E-2</c:v>
                </c:pt>
                <c:pt idx="2">
                  <c:v>2.7783370243607813E-2</c:v>
                </c:pt>
              </c:numCache>
            </c:numRef>
          </c:val>
          <c:extLst>
            <c:ext xmlns:c16="http://schemas.microsoft.com/office/drawing/2014/chart" uri="{C3380CC4-5D6E-409C-BE32-E72D297353CC}">
              <c16:uniqueId val="{00000005-4128-489B-B72F-26C8969D18A3}"/>
            </c:ext>
          </c:extLst>
        </c:ser>
        <c:ser>
          <c:idx val="6"/>
          <c:order val="6"/>
          <c:tx>
            <c:strRef>
              <c:f>'Category History'!$N$26</c:f>
              <c:strCache>
                <c:ptCount val="1"/>
                <c:pt idx="0">
                  <c:v>Planning Measure Research</c:v>
                </c:pt>
              </c:strCache>
            </c:strRef>
          </c:tx>
          <c:spPr>
            <a:solidFill>
              <a:schemeClr val="accent1">
                <a:lumMod val="60000"/>
              </a:schemeClr>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History'!$O$26:$Q$26</c:f>
              <c:numCache>
                <c:formatCode>0%</c:formatCode>
                <c:ptCount val="3"/>
                <c:pt idx="0">
                  <c:v>3.3346359254917288E-2</c:v>
                </c:pt>
              </c:numCache>
            </c:numRef>
          </c:val>
          <c:extLst>
            <c:ext xmlns:c16="http://schemas.microsoft.com/office/drawing/2014/chart" uri="{C3380CC4-5D6E-409C-BE32-E72D297353CC}">
              <c16:uniqueId val="{00000006-4128-489B-B72F-26C8969D18A3}"/>
            </c:ext>
          </c:extLst>
        </c:ser>
        <c:ser>
          <c:idx val="7"/>
          <c:order val="7"/>
          <c:tx>
            <c:strRef>
              <c:f>'Category History'!$N$27</c:f>
              <c:strCache>
                <c:ptCount val="1"/>
                <c:pt idx="0">
                  <c:v>RTF Member Support &amp; Administration</c:v>
                </c:pt>
              </c:strCache>
            </c:strRef>
          </c:tx>
          <c:spPr>
            <a:solidFill>
              <a:schemeClr val="accent2">
                <a:lumMod val="60000"/>
              </a:schemeClr>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History'!$O$27:$Q$27</c:f>
              <c:numCache>
                <c:formatCode>0%</c:formatCode>
                <c:ptCount val="3"/>
                <c:pt idx="0">
                  <c:v>0.13137076114801788</c:v>
                </c:pt>
                <c:pt idx="1">
                  <c:v>0.13383658548165028</c:v>
                </c:pt>
                <c:pt idx="2">
                  <c:v>0.1533621904570163</c:v>
                </c:pt>
              </c:numCache>
            </c:numRef>
          </c:val>
          <c:extLst>
            <c:ext xmlns:c16="http://schemas.microsoft.com/office/drawing/2014/chart" uri="{C3380CC4-5D6E-409C-BE32-E72D297353CC}">
              <c16:uniqueId val="{00000007-4128-489B-B72F-26C8969D18A3}"/>
            </c:ext>
          </c:extLst>
        </c:ser>
        <c:ser>
          <c:idx val="8"/>
          <c:order val="8"/>
          <c:tx>
            <c:strRef>
              <c:f>'Category History'!$N$28</c:f>
              <c:strCache>
                <c:ptCount val="1"/>
                <c:pt idx="0">
                  <c:v>Website, Database support, Conservation Tracking </c:v>
                </c:pt>
              </c:strCache>
            </c:strRef>
          </c:tx>
          <c:spPr>
            <a:solidFill>
              <a:schemeClr val="accent3">
                <a:lumMod val="60000"/>
              </a:schemeClr>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History'!$O$28:$Q$28</c:f>
              <c:numCache>
                <c:formatCode>0%</c:formatCode>
                <c:ptCount val="3"/>
                <c:pt idx="0">
                  <c:v>2.6590247926707482E-2</c:v>
                </c:pt>
                <c:pt idx="1">
                  <c:v>2.9577932868062481E-2</c:v>
                </c:pt>
                <c:pt idx="2">
                  <c:v>2.7783370243607813E-2</c:v>
                </c:pt>
              </c:numCache>
            </c:numRef>
          </c:val>
          <c:extLst>
            <c:ext xmlns:c16="http://schemas.microsoft.com/office/drawing/2014/chart" uri="{C3380CC4-5D6E-409C-BE32-E72D297353CC}">
              <c16:uniqueId val="{00000008-4128-489B-B72F-26C8969D18A3}"/>
            </c:ext>
          </c:extLst>
        </c:ser>
        <c:ser>
          <c:idx val="9"/>
          <c:order val="9"/>
          <c:tx>
            <c:strRef>
              <c:f>'Category History'!$N$29</c:f>
              <c:strCache>
                <c:ptCount val="1"/>
                <c:pt idx="0">
                  <c:v>RTF Management</c:v>
                </c:pt>
              </c:strCache>
            </c:strRef>
          </c:tx>
          <c:spPr>
            <a:solidFill>
              <a:schemeClr val="accent4">
                <a:lumMod val="60000"/>
              </a:schemeClr>
            </a:solidFill>
            <a:ln>
              <a:noFill/>
            </a:ln>
            <a:effectLst/>
          </c:spPr>
          <c:invertIfNegative val="0"/>
          <c:cat>
            <c:strRef>
              <c:f>'Category History'!$O$19:$Q$19</c:f>
              <c:strCache>
                <c:ptCount val="3"/>
                <c:pt idx="0">
                  <c:v>Proposed 2026 Budget</c:v>
                </c:pt>
                <c:pt idx="1">
                  <c:v>Approved Work Plan Budget 2025</c:v>
                </c:pt>
                <c:pt idx="2">
                  <c:v>Approved Business Plan Budget 2024</c:v>
                </c:pt>
              </c:strCache>
            </c:strRef>
          </c:cat>
          <c:val>
            <c:numRef>
              <c:f>'Category History'!$O$29:$Q$29</c:f>
              <c:numCache>
                <c:formatCode>0%</c:formatCode>
                <c:ptCount val="3"/>
                <c:pt idx="0">
                  <c:v>7.9675220355173465E-2</c:v>
                </c:pt>
                <c:pt idx="1">
                  <c:v>8.2704268147937146E-2</c:v>
                </c:pt>
                <c:pt idx="2">
                  <c:v>9.8902758204147373E-2</c:v>
                </c:pt>
              </c:numCache>
            </c:numRef>
          </c:val>
          <c:extLst>
            <c:ext xmlns:c16="http://schemas.microsoft.com/office/drawing/2014/chart" uri="{C3380CC4-5D6E-409C-BE32-E72D297353CC}">
              <c16:uniqueId val="{00000009-4128-489B-B72F-26C8969D18A3}"/>
            </c:ext>
          </c:extLst>
        </c:ser>
        <c:dLbls>
          <c:showLegendKey val="0"/>
          <c:showVal val="0"/>
          <c:showCatName val="0"/>
          <c:showSerName val="0"/>
          <c:showPercent val="0"/>
          <c:showBubbleSize val="0"/>
        </c:dLbls>
        <c:gapWidth val="150"/>
        <c:overlap val="100"/>
        <c:axId val="749058528"/>
        <c:axId val="225308496"/>
      </c:barChart>
      <c:catAx>
        <c:axId val="7490585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25308496"/>
        <c:crosses val="autoZero"/>
        <c:auto val="1"/>
        <c:lblAlgn val="ctr"/>
        <c:lblOffset val="100"/>
        <c:noMultiLvlLbl val="0"/>
      </c:catAx>
      <c:valAx>
        <c:axId val="225308496"/>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49058528"/>
        <c:crosses val="autoZero"/>
        <c:crossBetween val="between"/>
      </c:valAx>
      <c:spPr>
        <a:noFill/>
        <a:ln>
          <a:noFill/>
        </a:ln>
        <a:effectLst/>
      </c:spPr>
    </c:plotArea>
    <c:legend>
      <c:legendPos val="b"/>
      <c:layout>
        <c:manualLayout>
          <c:xMode val="edge"/>
          <c:yMode val="edge"/>
          <c:x val="0.76903564088679321"/>
          <c:y val="3.3678915135608001E-2"/>
          <c:w val="0.21879143829874312"/>
          <c:h val="0.9496544181977253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'Strategic Plan (2025-2029)'!#REF!</c:f>
          <c:strCache>
            <c:ptCount val="1"/>
            <c:pt idx="0">
              <c:v>#REF!</c:v>
            </c:pt>
          </c:strCache>
        </c:strRef>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0763292189836775E-2"/>
          <c:y val="0.12061788617886179"/>
          <c:w val="0.76909098818159594"/>
          <c:h val="0.80028090391140116"/>
        </c:manualLayout>
      </c:layout>
      <c:barChart>
        <c:barDir val="col"/>
        <c:grouping val="stacked"/>
        <c:varyColors val="0"/>
        <c:ser>
          <c:idx val="0"/>
          <c:order val="0"/>
          <c:spPr>
            <a:solidFill>
              <a:schemeClr val="accent1"/>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0-1860-4DD3-B1D7-7B7146BAD3C7}"/>
            </c:ext>
          </c:extLst>
        </c:ser>
        <c:ser>
          <c:idx val="1"/>
          <c:order val="1"/>
          <c:spPr>
            <a:solidFill>
              <a:schemeClr val="accent2"/>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1-1860-4DD3-B1D7-7B7146BAD3C7}"/>
            </c:ext>
          </c:extLst>
        </c:ser>
        <c:ser>
          <c:idx val="2"/>
          <c:order val="2"/>
          <c:spPr>
            <a:solidFill>
              <a:schemeClr val="accent3"/>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2-1860-4DD3-B1D7-7B7146BAD3C7}"/>
            </c:ext>
          </c:extLst>
        </c:ser>
        <c:ser>
          <c:idx val="3"/>
          <c:order val="3"/>
          <c:spPr>
            <a:solidFill>
              <a:schemeClr val="accent4"/>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3-1860-4DD3-B1D7-7B7146BAD3C7}"/>
            </c:ext>
          </c:extLst>
        </c:ser>
        <c:ser>
          <c:idx val="4"/>
          <c:order val="4"/>
          <c:spPr>
            <a:solidFill>
              <a:schemeClr val="accent5"/>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4-1860-4DD3-B1D7-7B7146BAD3C7}"/>
            </c:ext>
          </c:extLst>
        </c:ser>
        <c:ser>
          <c:idx val="5"/>
          <c:order val="5"/>
          <c:spPr>
            <a:solidFill>
              <a:schemeClr val="accent6"/>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5-1860-4DD3-B1D7-7B7146BAD3C7}"/>
            </c:ext>
          </c:extLst>
        </c:ser>
        <c:ser>
          <c:idx val="6"/>
          <c:order val="6"/>
          <c:spPr>
            <a:solidFill>
              <a:schemeClr val="accent1">
                <a:lumMod val="60000"/>
              </a:schemeClr>
            </a:solidFill>
            <a:ln>
              <a:noFill/>
            </a:ln>
            <a:effectLst/>
          </c:spPr>
          <c:invertIfNegative val="0"/>
          <c:val>
            <c:numRef>
              <c:f>'Strategic Plan (2025-2029)'!#REF!</c:f>
              <c:numCache>
                <c:formatCode>General</c:formatCode>
                <c:ptCount val="1"/>
                <c:pt idx="0">
                  <c:v>1</c:v>
                </c:pt>
              </c:numCache>
            </c:numRef>
          </c:val>
          <c:extLst xmlns:c15="http://schemas.microsoft.com/office/drawing/2012/char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9-1860-4DD3-B1D7-7B7146BAD3C7}"/>
            </c:ext>
          </c:extLst>
        </c:ser>
        <c:ser>
          <c:idx val="7"/>
          <c:order val="7"/>
          <c:spPr>
            <a:solidFill>
              <a:schemeClr val="accent2">
                <a:lumMod val="60000"/>
              </a:schemeClr>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6-1860-4DD3-B1D7-7B7146BAD3C7}"/>
            </c:ext>
          </c:extLst>
        </c:ser>
        <c:ser>
          <c:idx val="8"/>
          <c:order val="8"/>
          <c:spPr>
            <a:solidFill>
              <a:schemeClr val="accent3">
                <a:lumMod val="60000"/>
              </a:schemeClr>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7-1860-4DD3-B1D7-7B7146BAD3C7}"/>
            </c:ext>
          </c:extLst>
        </c:ser>
        <c:ser>
          <c:idx val="9"/>
          <c:order val="9"/>
          <c:spPr>
            <a:solidFill>
              <a:schemeClr val="accent4">
                <a:lumMod val="60000"/>
              </a:schemeClr>
            </a:solidFill>
            <a:ln>
              <a:noFill/>
            </a:ln>
            <a:effectLst/>
          </c:spPr>
          <c:invertIfNegative val="0"/>
          <c:val>
            <c:numRef>
              <c:f>'Strategic Plan (2025-2029)'!#REF!</c:f>
              <c:numCache>
                <c:formatCode>General</c:formatCode>
                <c:ptCount val="1"/>
                <c:pt idx="0">
                  <c:v>1</c:v>
                </c:pt>
              </c:numCache>
            </c:numRef>
          </c:val>
          <c:extLst>
            <c:ext xmlns:c15="http://schemas.microsoft.com/office/drawing/2012/chart" uri="{02D57815-91ED-43cb-92C2-25804820EDAC}">
              <c15:filteredSeriesTitle>
                <c15:tx>
                  <c:strRef>
                    <c:extLst>
                      <c:ext uri="{02D57815-91ED-43cb-92C2-25804820EDAC}">
                        <c15:formulaRef>
                          <c15:sqref>'Strategic Plan (2025-2029)'!#REF!</c15:sqref>
                        </c15:formulaRef>
                      </c:ext>
                    </c:extLst>
                    <c:strCache>
                      <c:ptCount val="1"/>
                      <c:pt idx="0">
                        <c:v>#REF!</c:v>
                      </c:pt>
                    </c:strCache>
                  </c:strRef>
                </c15:tx>
              </c15:filteredSeriesTitle>
            </c:ext>
            <c:ext xmlns:c15="http://schemas.microsoft.com/office/drawing/2012/chart" uri="{02D57815-91ED-43cb-92C2-25804820EDAC}">
              <c15:filteredCategoryTitle>
                <c15:cat>
                  <c:multiLvlStrRef>
                    <c:extLst>
                      <c:ext uri="{02D57815-91ED-43cb-92C2-25804820EDAC}">
                        <c15:formulaRef>
                          <c15:sqref>'Strategic Plan (2025-2029)'!#REF!</c15:sqref>
                        </c15:formulaRef>
                      </c:ext>
                    </c:extLst>
                  </c:multiLvlStrRef>
                </c15:cat>
              </c15:filteredCategoryTitle>
            </c:ext>
            <c:ext xmlns:c16="http://schemas.microsoft.com/office/drawing/2014/chart" uri="{C3380CC4-5D6E-409C-BE32-E72D297353CC}">
              <c16:uniqueId val="{00000008-1860-4DD3-B1D7-7B7146BAD3C7}"/>
            </c:ext>
          </c:extLst>
        </c:ser>
        <c:dLbls>
          <c:showLegendKey val="0"/>
          <c:showVal val="0"/>
          <c:showCatName val="0"/>
          <c:showSerName val="0"/>
          <c:showPercent val="0"/>
          <c:showBubbleSize val="0"/>
        </c:dLbls>
        <c:gapWidth val="150"/>
        <c:overlap val="100"/>
        <c:axId val="1816753887"/>
        <c:axId val="2062792959"/>
        <c:extLst/>
      </c:barChart>
      <c:catAx>
        <c:axId val="18167538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62792959"/>
        <c:crosses val="autoZero"/>
        <c:auto val="1"/>
        <c:lblAlgn val="ctr"/>
        <c:lblOffset val="100"/>
        <c:noMultiLvlLbl val="0"/>
      </c:catAx>
      <c:valAx>
        <c:axId val="2062792959"/>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816753887"/>
        <c:crosses val="autoZero"/>
        <c:crossBetween val="between"/>
      </c:valAx>
      <c:spPr>
        <a:noFill/>
        <a:ln>
          <a:noFill/>
        </a:ln>
        <a:effectLst/>
      </c:spPr>
    </c:plotArea>
    <c:legend>
      <c:legendPos val="b"/>
      <c:layout>
        <c:manualLayout>
          <c:xMode val="edge"/>
          <c:yMode val="edge"/>
          <c:x val="0.83737000069798284"/>
          <c:y val="4.9998847705012478E-2"/>
          <c:w val="0.16262997034434343"/>
          <c:h val="0.8997903654611832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a:t>
            </a:r>
            <a:r>
              <a:rPr lang="en-US" baseline="0"/>
              <a:t> Funding, excluding Council Contribution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'Business Plan (2025-2029)'!$C$21</c:f>
              <c:strCache>
                <c:ptCount val="1"/>
                <c:pt idx="0">
                  <c:v>Contract RFP</c:v>
                </c:pt>
              </c:strCache>
            </c:strRef>
          </c:tx>
          <c:spPr>
            <a:solidFill>
              <a:schemeClr val="accent1"/>
            </a:solidFill>
            <a:ln>
              <a:noFill/>
            </a:ln>
            <a:effectLst/>
          </c:spPr>
          <c:invertIfNegative val="0"/>
          <c:cat>
            <c:numRef>
              <c:f>'Business Plan (2025-2029)'!$B$22:$B$26</c:f>
              <c:numCache>
                <c:formatCode>General</c:formatCode>
                <c:ptCount val="5"/>
                <c:pt idx="0">
                  <c:v>2025</c:v>
                </c:pt>
                <c:pt idx="1">
                  <c:v>2026</c:v>
                </c:pt>
                <c:pt idx="2">
                  <c:v>2027</c:v>
                </c:pt>
                <c:pt idx="3">
                  <c:v>2028</c:v>
                </c:pt>
                <c:pt idx="4">
                  <c:v>2029</c:v>
                </c:pt>
              </c:numCache>
            </c:numRef>
          </c:cat>
          <c:val>
            <c:numRef>
              <c:f>'Business Plan (2025-2029)'!$C$22:$C$26</c:f>
              <c:numCache>
                <c:formatCode>"$"#,##0_);\("$"#,##0\)</c:formatCode>
                <c:ptCount val="5"/>
                <c:pt idx="0">
                  <c:v>568900</c:v>
                </c:pt>
                <c:pt idx="1">
                  <c:v>603250</c:v>
                </c:pt>
                <c:pt idx="2">
                  <c:v>778500</c:v>
                </c:pt>
                <c:pt idx="3">
                  <c:v>894000</c:v>
                </c:pt>
                <c:pt idx="4">
                  <c:v>706000</c:v>
                </c:pt>
              </c:numCache>
            </c:numRef>
          </c:val>
          <c:extLst>
            <c:ext xmlns:c16="http://schemas.microsoft.com/office/drawing/2014/chart" uri="{C3380CC4-5D6E-409C-BE32-E72D297353CC}">
              <c16:uniqueId val="{00000000-6EB3-41A3-A7FD-91A82DAD8D1F}"/>
            </c:ext>
          </c:extLst>
        </c:ser>
        <c:ser>
          <c:idx val="1"/>
          <c:order val="1"/>
          <c:tx>
            <c:strRef>
              <c:f>'Business Plan (2025-2029)'!$D$21</c:f>
              <c:strCache>
                <c:ptCount val="1"/>
                <c:pt idx="0">
                  <c:v>Contract Analyst Team</c:v>
                </c:pt>
              </c:strCache>
            </c:strRef>
          </c:tx>
          <c:spPr>
            <a:solidFill>
              <a:schemeClr val="accent2"/>
            </a:solidFill>
            <a:ln>
              <a:noFill/>
            </a:ln>
            <a:effectLst/>
          </c:spPr>
          <c:invertIfNegative val="0"/>
          <c:cat>
            <c:numRef>
              <c:f>'Business Plan (2025-2029)'!$B$22:$B$26</c:f>
              <c:numCache>
                <c:formatCode>General</c:formatCode>
                <c:ptCount val="5"/>
                <c:pt idx="0">
                  <c:v>2025</c:v>
                </c:pt>
                <c:pt idx="1">
                  <c:v>2026</c:v>
                </c:pt>
                <c:pt idx="2">
                  <c:v>2027</c:v>
                </c:pt>
                <c:pt idx="3">
                  <c:v>2028</c:v>
                </c:pt>
                <c:pt idx="4">
                  <c:v>2029</c:v>
                </c:pt>
              </c:numCache>
            </c:numRef>
          </c:cat>
          <c:val>
            <c:numRef>
              <c:f>'Business Plan (2025-2029)'!$D$22:$D$26</c:f>
              <c:numCache>
                <c:formatCode>"$"#,##0_);\("$"#,##0\)</c:formatCode>
                <c:ptCount val="5"/>
                <c:pt idx="0">
                  <c:v>1375400</c:v>
                </c:pt>
                <c:pt idx="1">
                  <c:v>1528850</c:v>
                </c:pt>
                <c:pt idx="2">
                  <c:v>1304700</c:v>
                </c:pt>
                <c:pt idx="3">
                  <c:v>1259300</c:v>
                </c:pt>
                <c:pt idx="4">
                  <c:v>1525900</c:v>
                </c:pt>
              </c:numCache>
            </c:numRef>
          </c:val>
          <c:extLst>
            <c:ext xmlns:c16="http://schemas.microsoft.com/office/drawing/2014/chart" uri="{C3380CC4-5D6E-409C-BE32-E72D297353CC}">
              <c16:uniqueId val="{00000001-6EB3-41A3-A7FD-91A82DAD8D1F}"/>
            </c:ext>
          </c:extLst>
        </c:ser>
        <c:ser>
          <c:idx val="2"/>
          <c:order val="2"/>
          <c:tx>
            <c:strRef>
              <c:f>'Business Plan (2025-2029)'!$E$21</c:f>
              <c:strCache>
                <c:ptCount val="1"/>
                <c:pt idx="0">
                  <c:v>RTF Manager</c:v>
                </c:pt>
              </c:strCache>
            </c:strRef>
          </c:tx>
          <c:spPr>
            <a:solidFill>
              <a:schemeClr val="accent3"/>
            </a:solidFill>
            <a:ln>
              <a:noFill/>
            </a:ln>
            <a:effectLst/>
          </c:spPr>
          <c:invertIfNegative val="0"/>
          <c:cat>
            <c:numRef>
              <c:f>'Business Plan (2025-2029)'!$B$22:$B$26</c:f>
              <c:numCache>
                <c:formatCode>General</c:formatCode>
                <c:ptCount val="5"/>
                <c:pt idx="0">
                  <c:v>2025</c:v>
                </c:pt>
                <c:pt idx="1">
                  <c:v>2026</c:v>
                </c:pt>
                <c:pt idx="2">
                  <c:v>2027</c:v>
                </c:pt>
                <c:pt idx="3">
                  <c:v>2028</c:v>
                </c:pt>
                <c:pt idx="4">
                  <c:v>2029</c:v>
                </c:pt>
              </c:numCache>
            </c:numRef>
          </c:cat>
          <c:val>
            <c:numRef>
              <c:f>'Business Plan (2025-2029)'!$E$22:$E$26</c:f>
              <c:numCache>
                <c:formatCode>"$"#,##0_);\("$"#,##0\)</c:formatCode>
                <c:ptCount val="5"/>
                <c:pt idx="0">
                  <c:v>162000</c:v>
                </c:pt>
                <c:pt idx="1">
                  <c:v>171000</c:v>
                </c:pt>
                <c:pt idx="2">
                  <c:v>173200</c:v>
                </c:pt>
                <c:pt idx="3">
                  <c:v>182100</c:v>
                </c:pt>
                <c:pt idx="4">
                  <c:v>185200</c:v>
                </c:pt>
              </c:numCache>
            </c:numRef>
          </c:val>
          <c:extLst>
            <c:ext xmlns:c16="http://schemas.microsoft.com/office/drawing/2014/chart" uri="{C3380CC4-5D6E-409C-BE32-E72D297353CC}">
              <c16:uniqueId val="{00000002-6EB3-41A3-A7FD-91A82DAD8D1F}"/>
            </c:ext>
          </c:extLst>
        </c:ser>
        <c:dLbls>
          <c:showLegendKey val="0"/>
          <c:showVal val="0"/>
          <c:showCatName val="0"/>
          <c:showSerName val="0"/>
          <c:showPercent val="0"/>
          <c:showBubbleSize val="0"/>
        </c:dLbls>
        <c:gapWidth val="150"/>
        <c:overlap val="100"/>
        <c:axId val="1563997536"/>
        <c:axId val="7222800"/>
      </c:barChart>
      <c:catAx>
        <c:axId val="156399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22800"/>
        <c:crosses val="autoZero"/>
        <c:auto val="1"/>
        <c:lblAlgn val="ctr"/>
        <c:lblOffset val="100"/>
        <c:noMultiLvlLbl val="0"/>
      </c:catAx>
      <c:valAx>
        <c:axId val="7222800"/>
        <c:scaling>
          <c:orientation val="minMax"/>
        </c:scaling>
        <c:delete val="0"/>
        <c:axPos val="l"/>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399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a:t>
            </a:r>
            <a:r>
              <a:rPr lang="en-US" baseline="0"/>
              <a:t> Funding, including Council Contribution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barChart>
        <c:barDir val="col"/>
        <c:grouping val="stacked"/>
        <c:varyColors val="0"/>
        <c:ser>
          <c:idx val="0"/>
          <c:order val="0"/>
          <c:tx>
            <c:strRef>
              <c:f>'Business Plan (2025-2029)'!$C$21</c:f>
              <c:strCache>
                <c:ptCount val="1"/>
                <c:pt idx="0">
                  <c:v>Contract RFP</c:v>
                </c:pt>
              </c:strCache>
            </c:strRef>
          </c:tx>
          <c:spPr>
            <a:solidFill>
              <a:schemeClr val="accent1"/>
            </a:solidFill>
            <a:ln>
              <a:noFill/>
            </a:ln>
            <a:effectLst/>
          </c:spPr>
          <c:invertIfNegative val="0"/>
          <c:cat>
            <c:numRef>
              <c:f>'Business Plan (2025-2029)'!$B$22:$B$26</c:f>
              <c:numCache>
                <c:formatCode>General</c:formatCode>
                <c:ptCount val="5"/>
                <c:pt idx="0">
                  <c:v>2025</c:v>
                </c:pt>
                <c:pt idx="1">
                  <c:v>2026</c:v>
                </c:pt>
                <c:pt idx="2">
                  <c:v>2027</c:v>
                </c:pt>
                <c:pt idx="3">
                  <c:v>2028</c:v>
                </c:pt>
                <c:pt idx="4">
                  <c:v>2029</c:v>
                </c:pt>
              </c:numCache>
            </c:numRef>
          </c:cat>
          <c:val>
            <c:numRef>
              <c:f>'Business Plan (2025-2029)'!$C$22:$C$26</c:f>
              <c:numCache>
                <c:formatCode>"$"#,##0_);\("$"#,##0\)</c:formatCode>
                <c:ptCount val="5"/>
                <c:pt idx="0">
                  <c:v>568900</c:v>
                </c:pt>
                <c:pt idx="1">
                  <c:v>603250</c:v>
                </c:pt>
                <c:pt idx="2">
                  <c:v>778500</c:v>
                </c:pt>
                <c:pt idx="3">
                  <c:v>894000</c:v>
                </c:pt>
                <c:pt idx="4">
                  <c:v>706000</c:v>
                </c:pt>
              </c:numCache>
            </c:numRef>
          </c:val>
          <c:extLst>
            <c:ext xmlns:c16="http://schemas.microsoft.com/office/drawing/2014/chart" uri="{C3380CC4-5D6E-409C-BE32-E72D297353CC}">
              <c16:uniqueId val="{00000000-42C1-4C61-B1C9-5C759FB482C1}"/>
            </c:ext>
          </c:extLst>
        </c:ser>
        <c:ser>
          <c:idx val="1"/>
          <c:order val="1"/>
          <c:tx>
            <c:strRef>
              <c:f>'Business Plan (2025-2029)'!$D$21</c:f>
              <c:strCache>
                <c:ptCount val="1"/>
                <c:pt idx="0">
                  <c:v>Contract Analyst Team</c:v>
                </c:pt>
              </c:strCache>
            </c:strRef>
          </c:tx>
          <c:spPr>
            <a:solidFill>
              <a:schemeClr val="accent2"/>
            </a:solidFill>
            <a:ln>
              <a:noFill/>
            </a:ln>
            <a:effectLst/>
          </c:spPr>
          <c:invertIfNegative val="0"/>
          <c:cat>
            <c:numRef>
              <c:f>'Business Plan (2025-2029)'!$B$22:$B$26</c:f>
              <c:numCache>
                <c:formatCode>General</c:formatCode>
                <c:ptCount val="5"/>
                <c:pt idx="0">
                  <c:v>2025</c:v>
                </c:pt>
                <c:pt idx="1">
                  <c:v>2026</c:v>
                </c:pt>
                <c:pt idx="2">
                  <c:v>2027</c:v>
                </c:pt>
                <c:pt idx="3">
                  <c:v>2028</c:v>
                </c:pt>
                <c:pt idx="4">
                  <c:v>2029</c:v>
                </c:pt>
              </c:numCache>
            </c:numRef>
          </c:cat>
          <c:val>
            <c:numRef>
              <c:f>'Business Plan (2025-2029)'!$D$22:$D$26</c:f>
              <c:numCache>
                <c:formatCode>"$"#,##0_);\("$"#,##0\)</c:formatCode>
                <c:ptCount val="5"/>
                <c:pt idx="0">
                  <c:v>1375400</c:v>
                </c:pt>
                <c:pt idx="1">
                  <c:v>1528850</c:v>
                </c:pt>
                <c:pt idx="2">
                  <c:v>1304700</c:v>
                </c:pt>
                <c:pt idx="3">
                  <c:v>1259300</c:v>
                </c:pt>
                <c:pt idx="4">
                  <c:v>1525900</c:v>
                </c:pt>
              </c:numCache>
            </c:numRef>
          </c:val>
          <c:extLst>
            <c:ext xmlns:c16="http://schemas.microsoft.com/office/drawing/2014/chart" uri="{C3380CC4-5D6E-409C-BE32-E72D297353CC}">
              <c16:uniqueId val="{00000001-42C1-4C61-B1C9-5C759FB482C1}"/>
            </c:ext>
          </c:extLst>
        </c:ser>
        <c:ser>
          <c:idx val="2"/>
          <c:order val="2"/>
          <c:tx>
            <c:strRef>
              <c:f>'Business Plan (2025-2029)'!$E$21</c:f>
              <c:strCache>
                <c:ptCount val="1"/>
                <c:pt idx="0">
                  <c:v>RTF Manager</c:v>
                </c:pt>
              </c:strCache>
            </c:strRef>
          </c:tx>
          <c:spPr>
            <a:solidFill>
              <a:schemeClr val="accent3"/>
            </a:solidFill>
            <a:ln>
              <a:noFill/>
            </a:ln>
            <a:effectLst/>
          </c:spPr>
          <c:invertIfNegative val="0"/>
          <c:cat>
            <c:numRef>
              <c:f>'Business Plan (2025-2029)'!$B$22:$B$26</c:f>
              <c:numCache>
                <c:formatCode>General</c:formatCode>
                <c:ptCount val="5"/>
                <c:pt idx="0">
                  <c:v>2025</c:v>
                </c:pt>
                <c:pt idx="1">
                  <c:v>2026</c:v>
                </c:pt>
                <c:pt idx="2">
                  <c:v>2027</c:v>
                </c:pt>
                <c:pt idx="3">
                  <c:v>2028</c:v>
                </c:pt>
                <c:pt idx="4">
                  <c:v>2029</c:v>
                </c:pt>
              </c:numCache>
            </c:numRef>
          </c:cat>
          <c:val>
            <c:numRef>
              <c:f>'Business Plan (2025-2029)'!$E$22:$E$26</c:f>
              <c:numCache>
                <c:formatCode>"$"#,##0_);\("$"#,##0\)</c:formatCode>
                <c:ptCount val="5"/>
                <c:pt idx="0">
                  <c:v>162000</c:v>
                </c:pt>
                <c:pt idx="1">
                  <c:v>171000</c:v>
                </c:pt>
                <c:pt idx="2">
                  <c:v>173200</c:v>
                </c:pt>
                <c:pt idx="3">
                  <c:v>182100</c:v>
                </c:pt>
                <c:pt idx="4">
                  <c:v>185200</c:v>
                </c:pt>
              </c:numCache>
            </c:numRef>
          </c:val>
          <c:extLst>
            <c:ext xmlns:c16="http://schemas.microsoft.com/office/drawing/2014/chart" uri="{C3380CC4-5D6E-409C-BE32-E72D297353CC}">
              <c16:uniqueId val="{00000002-42C1-4C61-B1C9-5C759FB482C1}"/>
            </c:ext>
          </c:extLst>
        </c:ser>
        <c:ser>
          <c:idx val="3"/>
          <c:order val="3"/>
          <c:tx>
            <c:strRef>
              <c:f>'Business Plan (2025-2029)'!$G$21</c:f>
              <c:strCache>
                <c:ptCount val="1"/>
                <c:pt idx="0">
                  <c:v>Council Contribution</c:v>
                </c:pt>
              </c:strCache>
            </c:strRef>
          </c:tx>
          <c:spPr>
            <a:solidFill>
              <a:schemeClr val="accent4"/>
            </a:solidFill>
            <a:ln>
              <a:noFill/>
            </a:ln>
            <a:effectLst/>
          </c:spPr>
          <c:invertIfNegative val="0"/>
          <c:val>
            <c:numRef>
              <c:f>'Business Plan (2025-2029)'!$G$22:$G$26</c:f>
              <c:numCache>
                <c:formatCode>"$"#,##0_);\("$"#,##0\)</c:formatCode>
                <c:ptCount val="5"/>
                <c:pt idx="0">
                  <c:v>204900</c:v>
                </c:pt>
                <c:pt idx="1">
                  <c:v>205000</c:v>
                </c:pt>
                <c:pt idx="2">
                  <c:v>219500</c:v>
                </c:pt>
                <c:pt idx="3">
                  <c:v>227200</c:v>
                </c:pt>
                <c:pt idx="4">
                  <c:v>235200</c:v>
                </c:pt>
              </c:numCache>
            </c:numRef>
          </c:val>
          <c:extLst>
            <c:ext xmlns:c16="http://schemas.microsoft.com/office/drawing/2014/chart" uri="{C3380CC4-5D6E-409C-BE32-E72D297353CC}">
              <c16:uniqueId val="{00000003-42C1-4C61-B1C9-5C759FB482C1}"/>
            </c:ext>
          </c:extLst>
        </c:ser>
        <c:dLbls>
          <c:showLegendKey val="0"/>
          <c:showVal val="0"/>
          <c:showCatName val="0"/>
          <c:showSerName val="0"/>
          <c:showPercent val="0"/>
          <c:showBubbleSize val="0"/>
        </c:dLbls>
        <c:gapWidth val="150"/>
        <c:overlap val="100"/>
        <c:axId val="1563997536"/>
        <c:axId val="7222800"/>
      </c:barChart>
      <c:catAx>
        <c:axId val="15639975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7222800"/>
        <c:crosses val="autoZero"/>
        <c:auto val="1"/>
        <c:lblAlgn val="ctr"/>
        <c:lblOffset val="100"/>
        <c:noMultiLvlLbl val="0"/>
      </c:catAx>
      <c:valAx>
        <c:axId val="7222800"/>
        <c:scaling>
          <c:orientation val="minMax"/>
        </c:scaling>
        <c:delete val="0"/>
        <c:axPos val="l"/>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6399753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Funding by Category, excluding</a:t>
            </a:r>
            <a:r>
              <a:rPr lang="en-US" baseline="0"/>
              <a:t> Council Contribution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6.8450982595342436E-2"/>
          <c:y val="0.13793112863713167"/>
          <c:w val="0.71309419655876349"/>
          <c:h val="0.78269582160593543"/>
        </c:manualLayout>
      </c:layout>
      <c:barChart>
        <c:barDir val="col"/>
        <c:grouping val="stacked"/>
        <c:varyColors val="0"/>
        <c:ser>
          <c:idx val="1"/>
          <c:order val="1"/>
          <c:tx>
            <c:strRef>
              <c:f>'Business Plan (2025-2029)'!$C$48</c:f>
              <c:strCache>
                <c:ptCount val="1"/>
                <c:pt idx="0">
                  <c:v>Measure Analysis</c:v>
                </c:pt>
              </c:strCache>
            </c:strRef>
          </c:tx>
          <c:spPr>
            <a:solidFill>
              <a:schemeClr val="accent2"/>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(2025-2029)'!$C$49:$C$53</c:f>
              <c:numCache>
                <c:formatCode>"$"#,##0_);\("$"#,##0\)</c:formatCode>
                <c:ptCount val="5"/>
                <c:pt idx="0">
                  <c:v>1049000</c:v>
                </c:pt>
                <c:pt idx="1">
                  <c:v>1326400</c:v>
                </c:pt>
                <c:pt idx="2">
                  <c:v>1197000</c:v>
                </c:pt>
                <c:pt idx="3">
                  <c:v>1104000</c:v>
                </c:pt>
                <c:pt idx="4">
                  <c:v>1381300</c:v>
                </c:pt>
              </c:numCache>
            </c:numRef>
          </c:val>
          <c:extLst>
            <c:ext xmlns:c16="http://schemas.microsoft.com/office/drawing/2014/chart" uri="{C3380CC4-5D6E-409C-BE32-E72D297353CC}">
              <c16:uniqueId val="{00000001-D36B-47BC-82F7-7F8448F3DEC9}"/>
            </c:ext>
          </c:extLst>
        </c:ser>
        <c:ser>
          <c:idx val="2"/>
          <c:order val="2"/>
          <c:tx>
            <c:strRef>
              <c:f>'Business Plan (2025-2029)'!$D$48</c:f>
              <c:strCache>
                <c:ptCount val="1"/>
                <c:pt idx="0">
                  <c:v>Tools and Regional Coordination</c:v>
                </c:pt>
              </c:strCache>
            </c:strRef>
          </c:tx>
          <c:spPr>
            <a:solidFill>
              <a:schemeClr val="accent3"/>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(2025-2029)'!$D$49:$D$53</c:f>
              <c:numCache>
                <c:formatCode>"$"#,##0_);\("$"#,##0\)</c:formatCode>
                <c:ptCount val="5"/>
                <c:pt idx="0">
                  <c:v>412700</c:v>
                </c:pt>
                <c:pt idx="1">
                  <c:v>268650</c:v>
                </c:pt>
                <c:pt idx="2">
                  <c:v>374500</c:v>
                </c:pt>
                <c:pt idx="3">
                  <c:v>545500</c:v>
                </c:pt>
                <c:pt idx="4">
                  <c:v>357000</c:v>
                </c:pt>
              </c:numCache>
            </c:numRef>
          </c:val>
          <c:extLst>
            <c:ext xmlns:c16="http://schemas.microsoft.com/office/drawing/2014/chart" uri="{C3380CC4-5D6E-409C-BE32-E72D297353CC}">
              <c16:uniqueId val="{00000002-D36B-47BC-82F7-7F8448F3DEC9}"/>
            </c:ext>
          </c:extLst>
        </c:ser>
        <c:ser>
          <c:idx val="3"/>
          <c:order val="3"/>
          <c:tx>
            <c:strRef>
              <c:f>'Business Plan (2025-2029)'!$E$48</c:f>
              <c:strCache>
                <c:ptCount val="1"/>
                <c:pt idx="0">
                  <c:v>Demand Response</c:v>
                </c:pt>
              </c:strCache>
            </c:strRef>
          </c:tx>
          <c:spPr>
            <a:solidFill>
              <a:schemeClr val="accent4"/>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(2025-2029)'!$E$49:$E$53</c:f>
              <c:numCache>
                <c:formatCode>"$"#,##0_);\("$"#,##0\)</c:formatCode>
                <c:ptCount val="5"/>
                <c:pt idx="0">
                  <c:v>76200</c:v>
                </c:pt>
                <c:pt idx="1">
                  <c:v>83950</c:v>
                </c:pt>
                <c:pt idx="2">
                  <c:v>93400</c:v>
                </c:pt>
                <c:pt idx="3">
                  <c:v>70000</c:v>
                </c:pt>
                <c:pt idx="4">
                  <c:v>52800</c:v>
                </c:pt>
              </c:numCache>
            </c:numRef>
          </c:val>
          <c:extLst>
            <c:ext xmlns:c16="http://schemas.microsoft.com/office/drawing/2014/chart" uri="{C3380CC4-5D6E-409C-BE32-E72D297353CC}">
              <c16:uniqueId val="{00000003-D36B-47BC-82F7-7F8448F3DEC9}"/>
            </c:ext>
          </c:extLst>
        </c:ser>
        <c:ser>
          <c:idx val="4"/>
          <c:order val="4"/>
          <c:tx>
            <c:strRef>
              <c:f>'Business Plan (2025-2029)'!$F$48</c:f>
              <c:strCache>
                <c:ptCount val="1"/>
                <c:pt idx="0">
                  <c:v>Planning Measure Research</c:v>
                </c:pt>
              </c:strCache>
            </c:strRef>
          </c:tx>
          <c:spPr>
            <a:solidFill>
              <a:schemeClr val="accent5"/>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(2025-2029)'!$F$49:$F$53</c:f>
              <c:numCache>
                <c:formatCode>"$"#,##0_);\("$"#,##0\)</c:formatCode>
                <c:ptCount val="5"/>
                <c:pt idx="0">
                  <c:v>50000</c:v>
                </c:pt>
                <c:pt idx="1">
                  <c:v>76800</c:v>
                </c:pt>
                <c:pt idx="2">
                  <c:v>53600</c:v>
                </c:pt>
                <c:pt idx="3">
                  <c:v>55500</c:v>
                </c:pt>
                <c:pt idx="4">
                  <c:v>57400</c:v>
                </c:pt>
              </c:numCache>
            </c:numRef>
          </c:val>
          <c:extLst>
            <c:ext xmlns:c16="http://schemas.microsoft.com/office/drawing/2014/chart" uri="{C3380CC4-5D6E-409C-BE32-E72D297353CC}">
              <c16:uniqueId val="{00000004-D36B-47BC-82F7-7F8448F3DEC9}"/>
            </c:ext>
          </c:extLst>
        </c:ser>
        <c:ser>
          <c:idx val="5"/>
          <c:order val="5"/>
          <c:tx>
            <c:strRef>
              <c:f>'Business Plan (2025-2029)'!$G$48</c:f>
              <c:strCache>
                <c:ptCount val="1"/>
                <c:pt idx="0">
                  <c:v>RTF Management</c:v>
                </c:pt>
              </c:strCache>
            </c:strRef>
          </c:tx>
          <c:spPr>
            <a:solidFill>
              <a:schemeClr val="accent6"/>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(2025-2029)'!$G$49:$G$53</c:f>
              <c:numCache>
                <c:formatCode>"$"#,##0_);\("$"#,##0\)</c:formatCode>
                <c:ptCount val="5"/>
                <c:pt idx="0">
                  <c:v>518400</c:v>
                </c:pt>
                <c:pt idx="1">
                  <c:v>547300</c:v>
                </c:pt>
                <c:pt idx="2">
                  <c:v>537900</c:v>
                </c:pt>
                <c:pt idx="3">
                  <c:v>560400</c:v>
                </c:pt>
                <c:pt idx="4">
                  <c:v>568600</c:v>
                </c:pt>
              </c:numCache>
            </c:numRef>
          </c:val>
          <c:extLst>
            <c:ext xmlns:c16="http://schemas.microsoft.com/office/drawing/2014/chart" uri="{C3380CC4-5D6E-409C-BE32-E72D297353CC}">
              <c16:uniqueId val="{00000005-D36B-47BC-82F7-7F8448F3DEC9}"/>
            </c:ext>
          </c:extLst>
        </c:ser>
        <c:dLbls>
          <c:showLegendKey val="0"/>
          <c:showVal val="0"/>
          <c:showCatName val="0"/>
          <c:showSerName val="0"/>
          <c:showPercent val="0"/>
          <c:showBubbleSize val="0"/>
        </c:dLbls>
        <c:gapWidth val="150"/>
        <c:overlap val="100"/>
        <c:axId val="1576807840"/>
        <c:axId val="196080656"/>
        <c:extLst>
          <c:ext xmlns:c15="http://schemas.microsoft.com/office/drawing/2012/chart" uri="{02D57815-91ED-43cb-92C2-25804820EDAC}">
            <c15:filteredBarSeries>
              <c15:ser>
                <c:idx val="0"/>
                <c:order val="0"/>
                <c:tx>
                  <c:strRef>
                    <c:extLst>
                      <c:ext uri="{02D57815-91ED-43cb-92C2-25804820EDAC}">
                        <c15:formulaRef>
                          <c15:sqref>'Business Plan (2025-2029)'!$B$48</c15:sqref>
                        </c15:formulaRef>
                      </c:ext>
                    </c:extLst>
                    <c:strCache>
                      <c:ptCount val="1"/>
                      <c:pt idx="0">
                        <c:v>Category Strategic Plan Funders Subtotal (excludes Council Contribution)</c:v>
                      </c:pt>
                    </c:strCache>
                  </c:strRef>
                </c:tx>
                <c:spPr>
                  <a:solidFill>
                    <a:schemeClr val="accent1"/>
                  </a:solidFill>
                  <a:ln>
                    <a:noFill/>
                  </a:ln>
                  <a:effectLst/>
                </c:spPr>
                <c:invertIfNegative val="0"/>
                <c:cat>
                  <c:numRef>
                    <c:extLst>
                      <c:ext uri="{02D57815-91ED-43cb-92C2-25804820EDAC}">
                        <c15:formulaRef>
                          <c15:sqref>'Business Plan (2025-2029)'!$B$57:$B$61</c15:sqref>
                        </c15:formulaRef>
                      </c:ext>
                    </c:extLst>
                    <c:numCache>
                      <c:formatCode>General</c:formatCode>
                      <c:ptCount val="5"/>
                      <c:pt idx="0">
                        <c:v>2025</c:v>
                      </c:pt>
                      <c:pt idx="1">
                        <c:v>2026</c:v>
                      </c:pt>
                      <c:pt idx="2">
                        <c:v>2027</c:v>
                      </c:pt>
                      <c:pt idx="3">
                        <c:v>2028</c:v>
                      </c:pt>
                      <c:pt idx="4">
                        <c:v>2029</c:v>
                      </c:pt>
                    </c:numCache>
                  </c:numRef>
                </c:cat>
                <c:val>
                  <c:numRef>
                    <c:extLst>
                      <c:ext uri="{02D57815-91ED-43cb-92C2-25804820EDAC}">
                        <c15:formulaRef>
                          <c15:sqref>'Business Plan (2025-2029)'!$B$49:$B$53</c15:sqref>
                        </c15:formulaRef>
                      </c:ext>
                    </c:extLst>
                    <c:numCache>
                      <c:formatCode>General</c:formatCode>
                      <c:ptCount val="5"/>
                      <c:pt idx="0">
                        <c:v>2025</c:v>
                      </c:pt>
                      <c:pt idx="1">
                        <c:v>2026</c:v>
                      </c:pt>
                      <c:pt idx="2">
                        <c:v>2027</c:v>
                      </c:pt>
                      <c:pt idx="3">
                        <c:v>2028</c:v>
                      </c:pt>
                      <c:pt idx="4">
                        <c:v>2029</c:v>
                      </c:pt>
                    </c:numCache>
                  </c:numRef>
                </c:val>
                <c:extLst>
                  <c:ext xmlns:c16="http://schemas.microsoft.com/office/drawing/2014/chart" uri="{C3380CC4-5D6E-409C-BE32-E72D297353CC}">
                    <c16:uniqueId val="{00000000-D36B-47BC-82F7-7F8448F3DEC9}"/>
                  </c:ext>
                </c:extLst>
              </c15:ser>
            </c15:filteredBarSeries>
          </c:ext>
        </c:extLst>
      </c:barChart>
      <c:catAx>
        <c:axId val="15768078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6080656"/>
        <c:crosses val="autoZero"/>
        <c:auto val="1"/>
        <c:lblAlgn val="ctr"/>
        <c:lblOffset val="100"/>
        <c:noMultiLvlLbl val="0"/>
      </c:catAx>
      <c:valAx>
        <c:axId val="196080656"/>
        <c:scaling>
          <c:orientation val="minMax"/>
        </c:scaling>
        <c:delete val="0"/>
        <c:axPos val="l"/>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576807840"/>
        <c:crosses val="autoZero"/>
        <c:crossBetween val="between"/>
      </c:valAx>
      <c:spPr>
        <a:noFill/>
        <a:ln>
          <a:noFill/>
        </a:ln>
        <a:effectLst/>
      </c:spPr>
    </c:plotArea>
    <c:legend>
      <c:legendPos val="b"/>
      <c:layout>
        <c:manualLayout>
          <c:xMode val="edge"/>
          <c:yMode val="edge"/>
          <c:x val="0.79514022552736474"/>
          <c:y val="0.18237646503733654"/>
          <c:w val="0.19164576650140958"/>
          <c:h val="0.7908228128061548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Annual Funding by Category</a:t>
            </a:r>
            <a:r>
              <a:rPr lang="en-US" baseline="0"/>
              <a:t>, including Council Contribution</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manualLayout>
          <c:layoutTarget val="inner"/>
          <c:xMode val="edge"/>
          <c:yMode val="edge"/>
          <c:x val="8.9281253037814715E-2"/>
          <c:y val="0.12878472222222223"/>
          <c:w val="0.6946693642461359"/>
          <c:h val="0.71123824365704291"/>
        </c:manualLayout>
      </c:layout>
      <c:barChart>
        <c:barDir val="col"/>
        <c:grouping val="stacked"/>
        <c:varyColors val="0"/>
        <c:ser>
          <c:idx val="1"/>
          <c:order val="1"/>
          <c:tx>
            <c:strRef>
              <c:f>'Business Plan (2025-2029)'!$C$56</c:f>
              <c:strCache>
                <c:ptCount val="1"/>
                <c:pt idx="0">
                  <c:v>Measure Analysis</c:v>
                </c:pt>
              </c:strCache>
            </c:strRef>
          </c:tx>
          <c:spPr>
            <a:solidFill>
              <a:schemeClr val="accent2"/>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(2025-2029)'!$C$57:$C$61</c:f>
              <c:numCache>
                <c:formatCode>"$"#,##0_);\("$"#,##0\)</c:formatCode>
                <c:ptCount val="5"/>
                <c:pt idx="0">
                  <c:v>1081000</c:v>
                </c:pt>
                <c:pt idx="1">
                  <c:v>1367100</c:v>
                </c:pt>
                <c:pt idx="2">
                  <c:v>1234400</c:v>
                </c:pt>
                <c:pt idx="3">
                  <c:v>1140800</c:v>
                </c:pt>
                <c:pt idx="4">
                  <c:v>1416600</c:v>
                </c:pt>
              </c:numCache>
            </c:numRef>
          </c:val>
          <c:extLst>
            <c:ext xmlns:c16="http://schemas.microsoft.com/office/drawing/2014/chart" uri="{C3380CC4-5D6E-409C-BE32-E72D297353CC}">
              <c16:uniqueId val="{00000001-6D0C-459B-ABC1-4C7EFEFE664F}"/>
            </c:ext>
          </c:extLst>
        </c:ser>
        <c:ser>
          <c:idx val="2"/>
          <c:order val="2"/>
          <c:tx>
            <c:strRef>
              <c:f>'Business Plan (2025-2029)'!$D$56</c:f>
              <c:strCache>
                <c:ptCount val="1"/>
                <c:pt idx="0">
                  <c:v>Tools and Regional Coordination</c:v>
                </c:pt>
              </c:strCache>
            </c:strRef>
          </c:tx>
          <c:spPr>
            <a:solidFill>
              <a:schemeClr val="accent3"/>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(2025-2029)'!$D$57:$D$61</c:f>
              <c:numCache>
                <c:formatCode>"$"#,##0_);\("$"#,##0\)</c:formatCode>
                <c:ptCount val="5"/>
                <c:pt idx="0">
                  <c:v>454100</c:v>
                </c:pt>
                <c:pt idx="1">
                  <c:v>327960</c:v>
                </c:pt>
                <c:pt idx="2">
                  <c:v>434100</c:v>
                </c:pt>
                <c:pt idx="3">
                  <c:v>602000</c:v>
                </c:pt>
                <c:pt idx="4">
                  <c:v>426900</c:v>
                </c:pt>
              </c:numCache>
            </c:numRef>
          </c:val>
          <c:extLst>
            <c:ext xmlns:c16="http://schemas.microsoft.com/office/drawing/2014/chart" uri="{C3380CC4-5D6E-409C-BE32-E72D297353CC}">
              <c16:uniqueId val="{00000002-6D0C-459B-ABC1-4C7EFEFE664F}"/>
            </c:ext>
          </c:extLst>
        </c:ser>
        <c:ser>
          <c:idx val="3"/>
          <c:order val="3"/>
          <c:tx>
            <c:strRef>
              <c:f>'Business Plan (2025-2029)'!$E$56</c:f>
              <c:strCache>
                <c:ptCount val="1"/>
                <c:pt idx="0">
                  <c:v>Demand Response</c:v>
                </c:pt>
              </c:strCache>
            </c:strRef>
          </c:tx>
          <c:spPr>
            <a:solidFill>
              <a:schemeClr val="accent4"/>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(2025-2029)'!$E$57:$E$61</c:f>
              <c:numCache>
                <c:formatCode>"$"#,##0_);\("$"#,##0\)</c:formatCode>
                <c:ptCount val="5"/>
                <c:pt idx="0">
                  <c:v>89200</c:v>
                </c:pt>
                <c:pt idx="1">
                  <c:v>105630</c:v>
                </c:pt>
                <c:pt idx="2">
                  <c:v>94300</c:v>
                </c:pt>
                <c:pt idx="3">
                  <c:v>79300</c:v>
                </c:pt>
                <c:pt idx="4">
                  <c:v>57000</c:v>
                </c:pt>
              </c:numCache>
            </c:numRef>
          </c:val>
          <c:extLst>
            <c:ext xmlns:c16="http://schemas.microsoft.com/office/drawing/2014/chart" uri="{C3380CC4-5D6E-409C-BE32-E72D297353CC}">
              <c16:uniqueId val="{00000003-6D0C-459B-ABC1-4C7EFEFE664F}"/>
            </c:ext>
          </c:extLst>
        </c:ser>
        <c:ser>
          <c:idx val="4"/>
          <c:order val="4"/>
          <c:tx>
            <c:strRef>
              <c:f>'Business Plan (2025-2029)'!$F$56</c:f>
              <c:strCache>
                <c:ptCount val="1"/>
                <c:pt idx="0">
                  <c:v>Planning Measure Research</c:v>
                </c:pt>
              </c:strCache>
            </c:strRef>
          </c:tx>
          <c:spPr>
            <a:solidFill>
              <a:schemeClr val="accent5"/>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(2025-2029)'!$F$57:$F$61</c:f>
              <c:numCache>
                <c:formatCode>"$"#,##0_);\("$"#,##0\)</c:formatCode>
                <c:ptCount val="5"/>
                <c:pt idx="0">
                  <c:v>56000</c:v>
                </c:pt>
                <c:pt idx="1">
                  <c:v>76800</c:v>
                </c:pt>
                <c:pt idx="2">
                  <c:v>59600</c:v>
                </c:pt>
                <c:pt idx="3">
                  <c:v>61500</c:v>
                </c:pt>
                <c:pt idx="4">
                  <c:v>63400</c:v>
                </c:pt>
              </c:numCache>
            </c:numRef>
          </c:val>
          <c:extLst>
            <c:ext xmlns:c16="http://schemas.microsoft.com/office/drawing/2014/chart" uri="{C3380CC4-5D6E-409C-BE32-E72D297353CC}">
              <c16:uniqueId val="{00000004-6D0C-459B-ABC1-4C7EFEFE664F}"/>
            </c:ext>
          </c:extLst>
        </c:ser>
        <c:ser>
          <c:idx val="5"/>
          <c:order val="5"/>
          <c:tx>
            <c:strRef>
              <c:f>'Business Plan (2025-2029)'!$G$56</c:f>
              <c:strCache>
                <c:ptCount val="1"/>
                <c:pt idx="0">
                  <c:v>RTF Management</c:v>
                </c:pt>
              </c:strCache>
            </c:strRef>
          </c:tx>
          <c:spPr>
            <a:solidFill>
              <a:schemeClr val="accent6"/>
            </a:solidFill>
            <a:ln>
              <a:noFill/>
            </a:ln>
            <a:effectLst/>
          </c:spPr>
          <c:invertIfNegative val="0"/>
          <c:cat>
            <c:numRef>
              <c:f>'Business Plan (2025-2029)'!$B$57:$B$61</c:f>
              <c:numCache>
                <c:formatCode>General</c:formatCode>
                <c:ptCount val="5"/>
                <c:pt idx="0">
                  <c:v>2025</c:v>
                </c:pt>
                <c:pt idx="1">
                  <c:v>2026</c:v>
                </c:pt>
                <c:pt idx="2">
                  <c:v>2027</c:v>
                </c:pt>
                <c:pt idx="3">
                  <c:v>2028</c:v>
                </c:pt>
                <c:pt idx="4">
                  <c:v>2029</c:v>
                </c:pt>
              </c:numCache>
            </c:numRef>
          </c:cat>
          <c:val>
            <c:numRef>
              <c:f>'Business Plan (2025-2029)'!$G$57:$G$61</c:f>
              <c:numCache>
                <c:formatCode>"$"#,##0_);\("$"#,##0\)</c:formatCode>
                <c:ptCount val="5"/>
                <c:pt idx="0">
                  <c:v>630900</c:v>
                </c:pt>
                <c:pt idx="1">
                  <c:v>630610</c:v>
                </c:pt>
                <c:pt idx="2">
                  <c:v>653500</c:v>
                </c:pt>
                <c:pt idx="3">
                  <c:v>679000</c:v>
                </c:pt>
                <c:pt idx="4">
                  <c:v>688400</c:v>
                </c:pt>
              </c:numCache>
            </c:numRef>
          </c:val>
          <c:extLst>
            <c:ext xmlns:c16="http://schemas.microsoft.com/office/drawing/2014/chart" uri="{C3380CC4-5D6E-409C-BE32-E72D297353CC}">
              <c16:uniqueId val="{00000005-6D0C-459B-ABC1-4C7EFEFE664F}"/>
            </c:ext>
          </c:extLst>
        </c:ser>
        <c:dLbls>
          <c:showLegendKey val="0"/>
          <c:showVal val="0"/>
          <c:showCatName val="0"/>
          <c:showSerName val="0"/>
          <c:showPercent val="0"/>
          <c:showBubbleSize val="0"/>
        </c:dLbls>
        <c:gapWidth val="150"/>
        <c:overlap val="100"/>
        <c:axId val="1925034304"/>
        <c:axId val="1471292576"/>
        <c:extLst>
          <c:ext xmlns:c15="http://schemas.microsoft.com/office/drawing/2012/chart" uri="{02D57815-91ED-43cb-92C2-25804820EDAC}">
            <c15:filteredBarSeries>
              <c15:ser>
                <c:idx val="0"/>
                <c:order val="0"/>
                <c:tx>
                  <c:strRef>
                    <c:extLst>
                      <c:ext uri="{02D57815-91ED-43cb-92C2-25804820EDAC}">
                        <c15:formulaRef>
                          <c15:sqref>'Business Plan (2025-2029)'!$B$56</c15:sqref>
                        </c15:formulaRef>
                      </c:ext>
                    </c:extLst>
                    <c:strCache>
                      <c:ptCount val="1"/>
                      <c:pt idx="0">
                        <c:v>Category Strategic Plan Total including Council Contribution)</c:v>
                      </c:pt>
                    </c:strCache>
                  </c:strRef>
                </c:tx>
                <c:spPr>
                  <a:solidFill>
                    <a:schemeClr val="accent1"/>
                  </a:solidFill>
                  <a:ln>
                    <a:noFill/>
                  </a:ln>
                  <a:effectLst/>
                </c:spPr>
                <c:invertIfNegative val="0"/>
                <c:cat>
                  <c:numRef>
                    <c:extLst>
                      <c:ext uri="{02D57815-91ED-43cb-92C2-25804820EDAC}">
                        <c15:formulaRef>
                          <c15:sqref>'Business Plan (2025-2029)'!$B$57:$B$61</c15:sqref>
                        </c15:formulaRef>
                      </c:ext>
                    </c:extLst>
                    <c:numCache>
                      <c:formatCode>General</c:formatCode>
                      <c:ptCount val="5"/>
                      <c:pt idx="0">
                        <c:v>2025</c:v>
                      </c:pt>
                      <c:pt idx="1">
                        <c:v>2026</c:v>
                      </c:pt>
                      <c:pt idx="2">
                        <c:v>2027</c:v>
                      </c:pt>
                      <c:pt idx="3">
                        <c:v>2028</c:v>
                      </c:pt>
                      <c:pt idx="4">
                        <c:v>2029</c:v>
                      </c:pt>
                    </c:numCache>
                  </c:numRef>
                </c:cat>
                <c:val>
                  <c:numRef>
                    <c:extLst>
                      <c:ext uri="{02D57815-91ED-43cb-92C2-25804820EDAC}">
                        <c15:formulaRef>
                          <c15:sqref>'Business Plan (2025-2029)'!$B$57:$B$61</c15:sqref>
                        </c15:formulaRef>
                      </c:ext>
                    </c:extLst>
                    <c:numCache>
                      <c:formatCode>General</c:formatCode>
                      <c:ptCount val="5"/>
                      <c:pt idx="0">
                        <c:v>2025</c:v>
                      </c:pt>
                      <c:pt idx="1">
                        <c:v>2026</c:v>
                      </c:pt>
                      <c:pt idx="2">
                        <c:v>2027</c:v>
                      </c:pt>
                      <c:pt idx="3">
                        <c:v>2028</c:v>
                      </c:pt>
                      <c:pt idx="4">
                        <c:v>2029</c:v>
                      </c:pt>
                    </c:numCache>
                  </c:numRef>
                </c:val>
                <c:extLst>
                  <c:ext xmlns:c16="http://schemas.microsoft.com/office/drawing/2014/chart" uri="{C3380CC4-5D6E-409C-BE32-E72D297353CC}">
                    <c16:uniqueId val="{00000000-6D0C-459B-ABC1-4C7EFEFE664F}"/>
                  </c:ext>
                </c:extLst>
              </c15:ser>
            </c15:filteredBarSeries>
          </c:ext>
        </c:extLst>
      </c:barChart>
      <c:catAx>
        <c:axId val="192503430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471292576"/>
        <c:crosses val="autoZero"/>
        <c:auto val="1"/>
        <c:lblAlgn val="ctr"/>
        <c:lblOffset val="100"/>
        <c:noMultiLvlLbl val="0"/>
      </c:catAx>
      <c:valAx>
        <c:axId val="1471292576"/>
        <c:scaling>
          <c:orientation val="minMax"/>
        </c:scaling>
        <c:delete val="0"/>
        <c:axPos val="l"/>
        <c:numFmt formatCode="&quot;$&quot;#,##0_);\(&quot;$&quot;#,##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1925034304"/>
        <c:crosses val="autoZero"/>
        <c:crossBetween val="between"/>
      </c:valAx>
      <c:spPr>
        <a:noFill/>
        <a:ln>
          <a:noFill/>
        </a:ln>
        <a:effectLst/>
      </c:spPr>
    </c:plotArea>
    <c:legend>
      <c:legendPos val="b"/>
      <c:layout>
        <c:manualLayout>
          <c:xMode val="edge"/>
          <c:yMode val="edge"/>
          <c:x val="0.79691880528822789"/>
          <c:y val="0.10112806211723541"/>
          <c:w val="0.1978289345776223"/>
          <c:h val="0.8780386045494315"/>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6" Type="http://schemas.openxmlformats.org/officeDocument/2006/relationships/chart" Target="../charts/chart10.xml"/><Relationship Id="rId5" Type="http://schemas.openxmlformats.org/officeDocument/2006/relationships/chart" Target="../charts/chart9.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0</xdr:col>
      <xdr:colOff>609599</xdr:colOff>
      <xdr:row>17</xdr:row>
      <xdr:rowOff>4761</xdr:rowOff>
    </xdr:from>
    <xdr:to>
      <xdr:col>11</xdr:col>
      <xdr:colOff>9524</xdr:colOff>
      <xdr:row>45</xdr:row>
      <xdr:rowOff>42861</xdr:rowOff>
    </xdr:to>
    <xdr:graphicFrame macro="">
      <xdr:nvGraphicFramePr>
        <xdr:cNvPr id="7" name="Chart 6">
          <a:extLst>
            <a:ext uri="{FF2B5EF4-FFF2-40B4-BE49-F238E27FC236}">
              <a16:creationId xmlns:a16="http://schemas.microsoft.com/office/drawing/2014/main" id="{13974B73-24A1-66B5-364B-768FD81AC3C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604835</xdr:colOff>
      <xdr:row>46</xdr:row>
      <xdr:rowOff>4762</xdr:rowOff>
    </xdr:from>
    <xdr:to>
      <xdr:col>11</xdr:col>
      <xdr:colOff>5141</xdr:colOff>
      <xdr:row>74</xdr:row>
      <xdr:rowOff>42862</xdr:rowOff>
    </xdr:to>
    <xdr:graphicFrame macro="">
      <xdr:nvGraphicFramePr>
        <xdr:cNvPr id="8" name="Chart 7">
          <a:extLst>
            <a:ext uri="{FF2B5EF4-FFF2-40B4-BE49-F238E27FC236}">
              <a16:creationId xmlns:a16="http://schemas.microsoft.com/office/drawing/2014/main" id="{1ABE3A01-FD02-3F04-12D2-9341903AD4F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9525</xdr:colOff>
      <xdr:row>75</xdr:row>
      <xdr:rowOff>4762</xdr:rowOff>
    </xdr:from>
    <xdr:to>
      <xdr:col>11</xdr:col>
      <xdr:colOff>19431</xdr:colOff>
      <xdr:row>103</xdr:row>
      <xdr:rowOff>42862</xdr:rowOff>
    </xdr:to>
    <xdr:graphicFrame macro="">
      <xdr:nvGraphicFramePr>
        <xdr:cNvPr id="10" name="Chart 9">
          <a:extLst>
            <a:ext uri="{FF2B5EF4-FFF2-40B4-BE49-F238E27FC236}">
              <a16:creationId xmlns:a16="http://schemas.microsoft.com/office/drawing/2014/main" id="{53257FCD-DB4A-DADD-3698-696B2322946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11</xdr:col>
      <xdr:colOff>933450</xdr:colOff>
      <xdr:row>17</xdr:row>
      <xdr:rowOff>4762</xdr:rowOff>
    </xdr:from>
    <xdr:to>
      <xdr:col>23</xdr:col>
      <xdr:colOff>609599</xdr:colOff>
      <xdr:row>45</xdr:row>
      <xdr:rowOff>42862</xdr:rowOff>
    </xdr:to>
    <xdr:graphicFrame macro="">
      <xdr:nvGraphicFramePr>
        <xdr:cNvPr id="11" name="Chart 10">
          <a:extLst>
            <a:ext uri="{FF2B5EF4-FFF2-40B4-BE49-F238E27FC236}">
              <a16:creationId xmlns:a16="http://schemas.microsoft.com/office/drawing/2014/main" id="{F4E23049-66E0-59B2-519F-0FC64BEAA2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598487</xdr:colOff>
      <xdr:row>18</xdr:row>
      <xdr:rowOff>0</xdr:rowOff>
    </xdr:from>
    <xdr:to>
      <xdr:col>10</xdr:col>
      <xdr:colOff>930275</xdr:colOff>
      <xdr:row>18</xdr:row>
      <xdr:rowOff>0</xdr:rowOff>
    </xdr:to>
    <xdr:graphicFrame macro="">
      <xdr:nvGraphicFramePr>
        <xdr:cNvPr id="4" name="Chart 3">
          <a:extLst>
            <a:ext uri="{FF2B5EF4-FFF2-40B4-BE49-F238E27FC236}">
              <a16:creationId xmlns:a16="http://schemas.microsoft.com/office/drawing/2014/main" id="{692A9A96-AE33-459F-A5D3-6E2AFA4110B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28</xdr:row>
      <xdr:rowOff>4762</xdr:rowOff>
    </xdr:from>
    <xdr:to>
      <xdr:col>3</xdr:col>
      <xdr:colOff>600075</xdr:colOff>
      <xdr:row>44</xdr:row>
      <xdr:rowOff>157162</xdr:rowOff>
    </xdr:to>
    <xdr:graphicFrame macro="">
      <xdr:nvGraphicFramePr>
        <xdr:cNvPr id="2" name="Chart 1">
          <a:extLst>
            <a:ext uri="{FF2B5EF4-FFF2-40B4-BE49-F238E27FC236}">
              <a16:creationId xmlns:a16="http://schemas.microsoft.com/office/drawing/2014/main" id="{FE7D6F67-82EC-58E1-1026-A57C90D0F764}"/>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933449</xdr:colOff>
      <xdr:row>27</xdr:row>
      <xdr:rowOff>152400</xdr:rowOff>
    </xdr:from>
    <xdr:to>
      <xdr:col>10</xdr:col>
      <xdr:colOff>152399</xdr:colOff>
      <xdr:row>44</xdr:row>
      <xdr:rowOff>142875</xdr:rowOff>
    </xdr:to>
    <xdr:graphicFrame macro="">
      <xdr:nvGraphicFramePr>
        <xdr:cNvPr id="3" name="Chart 2">
          <a:extLst>
            <a:ext uri="{FF2B5EF4-FFF2-40B4-BE49-F238E27FC236}">
              <a16:creationId xmlns:a16="http://schemas.microsoft.com/office/drawing/2014/main" id="{9095D60D-5C54-4FC9-AEA9-CA8611987C8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600074</xdr:colOff>
      <xdr:row>63</xdr:row>
      <xdr:rowOff>4761</xdr:rowOff>
    </xdr:from>
    <xdr:to>
      <xdr:col>6</xdr:col>
      <xdr:colOff>504824</xdr:colOff>
      <xdr:row>85</xdr:row>
      <xdr:rowOff>100011</xdr:rowOff>
    </xdr:to>
    <xdr:graphicFrame macro="">
      <xdr:nvGraphicFramePr>
        <xdr:cNvPr id="5" name="Chart 4">
          <a:extLst>
            <a:ext uri="{FF2B5EF4-FFF2-40B4-BE49-F238E27FC236}">
              <a16:creationId xmlns:a16="http://schemas.microsoft.com/office/drawing/2014/main" id="{C07CA520-D9FB-B851-0B4C-36D2F6562035}"/>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209550</xdr:colOff>
      <xdr:row>63</xdr:row>
      <xdr:rowOff>14287</xdr:rowOff>
    </xdr:from>
    <xdr:to>
      <xdr:col>17</xdr:col>
      <xdr:colOff>38100</xdr:colOff>
      <xdr:row>85</xdr:row>
      <xdr:rowOff>109537</xdr:rowOff>
    </xdr:to>
    <xdr:graphicFrame macro="">
      <xdr:nvGraphicFramePr>
        <xdr:cNvPr id="6" name="Chart 5">
          <a:extLst>
            <a:ext uri="{FF2B5EF4-FFF2-40B4-BE49-F238E27FC236}">
              <a16:creationId xmlns:a16="http://schemas.microsoft.com/office/drawing/2014/main" id="{EF78A755-FFC7-1704-73A3-98E317BF40D2}"/>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28575</xdr:colOff>
      <xdr:row>96</xdr:row>
      <xdr:rowOff>138112</xdr:rowOff>
    </xdr:from>
    <xdr:to>
      <xdr:col>6</xdr:col>
      <xdr:colOff>28575</xdr:colOff>
      <xdr:row>117</xdr:row>
      <xdr:rowOff>9525</xdr:rowOff>
    </xdr:to>
    <xdr:graphicFrame macro="">
      <xdr:nvGraphicFramePr>
        <xdr:cNvPr id="7" name="Chart 6">
          <a:extLst>
            <a:ext uri="{FF2B5EF4-FFF2-40B4-BE49-F238E27FC236}">
              <a16:creationId xmlns:a16="http://schemas.microsoft.com/office/drawing/2014/main" id="{9DEE0E0E-60FB-A887-FEC1-5CED8E25956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persons/person.xml><?xml version="1.0" encoding="utf-8"?>
<personList xmlns="http://schemas.microsoft.com/office/spreadsheetml/2018/threadedcomments" xmlns:x="http://schemas.openxmlformats.org/spreadsheetml/2006/main">
  <person displayName="Laura Thomas" id="{9F0136BA-AC95-477B-A92F-2B9BF1EBAC3D}" userId="S::lthomas@nwcouncil.org::0bb5a7d5-0d83-4b5f-b5c5-4a0943859e75" providerId="AD"/>
</personList>
</file>

<file path=xl/theme/theme1.xml><?xml version="1.0" encoding="utf-8"?>
<a:theme xmlns:a="http://schemas.openxmlformats.org/drawingml/2006/main" name="Office Theme">
  <a:themeElements>
    <a:clrScheme name="RTF Added Colors">
      <a:dk1>
        <a:sysClr val="windowText" lastClr="000000"/>
      </a:dk1>
      <a:lt1>
        <a:sysClr val="window" lastClr="FFFFFF"/>
      </a:lt1>
      <a:dk2>
        <a:srgbClr val="213E44"/>
      </a:dk2>
      <a:lt2>
        <a:srgbClr val="EDE4D4"/>
      </a:lt2>
      <a:accent1>
        <a:srgbClr val="336E7E"/>
      </a:accent1>
      <a:accent2>
        <a:srgbClr val="9E4A30"/>
      </a:accent2>
      <a:accent3>
        <a:srgbClr val="7CA7AF"/>
      </a:accent3>
      <a:accent4>
        <a:srgbClr val="B1CECA"/>
      </a:accent4>
      <a:accent5>
        <a:srgbClr val="EB805F"/>
      </a:accent5>
      <a:accent6>
        <a:srgbClr val="147644"/>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J30" dT="2024-07-19T15:09:29.47" personId="{9F0136BA-AC95-477B-A92F-2B9BF1EBAC3D}" id="{6BE6D10D-A87E-4308-9327-A37D71C4704D}">
    <text>Needs to be updated annually during work planning development process.</text>
  </threadedComment>
</ThreadedComments>
</file>

<file path=xl/worksheets/_rels/sheet10.xml.rels><?xml version="1.0" encoding="UTF-8" standalone="yes"?>
<Relationships xmlns="http://schemas.openxmlformats.org/package/2006/relationships"><Relationship Id="rId26" Type="http://schemas.openxmlformats.org/officeDocument/2006/relationships/hyperlink" Target="https://rtf.nwcouncil.org/measure/commercial-timers-water-coolers/" TargetMode="External"/><Relationship Id="rId21" Type="http://schemas.openxmlformats.org/officeDocument/2006/relationships/hyperlink" Target="https://rtf.nwcouncil.org/measure/potatoonion-shed/" TargetMode="External"/><Relationship Id="rId42" Type="http://schemas.openxmlformats.org/officeDocument/2006/relationships/hyperlink" Target="https://rtf.nwcouncil.org/measure/duct-sealing-sf/" TargetMode="External"/><Relationship Id="rId47" Type="http://schemas.openxmlformats.org/officeDocument/2006/relationships/hyperlink" Target="https://rtf.nwcouncil.org/measure/residential-gas-fireplaces/" TargetMode="External"/><Relationship Id="rId63" Type="http://schemas.openxmlformats.org/officeDocument/2006/relationships/hyperlink" Target="https://rtf.nwcouncil.org/measure/multi-family/" TargetMode="External"/><Relationship Id="rId68" Type="http://schemas.openxmlformats.org/officeDocument/2006/relationships/hyperlink" Target="https://rtf.nwcouncil.org/standard-protocol/irrigation-pressure-reduction/" TargetMode="External"/><Relationship Id="rId84" Type="http://schemas.openxmlformats.org/officeDocument/2006/relationships/vmlDrawing" Target="../drawings/vmlDrawing1.vml"/><Relationship Id="rId16" Type="http://schemas.openxmlformats.org/officeDocument/2006/relationships/hyperlink" Target="https://rtf.nwcouncil.org/measure/doorway-air-curtains/" TargetMode="External"/><Relationship Id="rId11" Type="http://schemas.openxmlformats.org/officeDocument/2006/relationships/hyperlink" Target="https://rtf.nwcouncil.org/measure/rack-ovens/" TargetMode="External"/><Relationship Id="rId32" Type="http://schemas.openxmlformats.org/officeDocument/2006/relationships/hyperlink" Target="https://rtf.nwcouncil.org/measure/non-residential-lighting-midstream/" TargetMode="External"/><Relationship Id="rId37" Type="http://schemas.openxmlformats.org/officeDocument/2006/relationships/hyperlink" Target="https://rtf.nwcouncil.org/measure/commercial-industrial-fans/" TargetMode="External"/><Relationship Id="rId53" Type="http://schemas.openxmlformats.org/officeDocument/2006/relationships/hyperlink" Target="https://rtf.nwcouncil.org/measure/irrigation-hardware-maintenance/" TargetMode="External"/><Relationship Id="rId58" Type="http://schemas.openxmlformats.org/officeDocument/2006/relationships/hyperlink" Target="https://rtf.nwcouncil.org/measure/ecms-walk-ins/" TargetMode="External"/><Relationship Id="rId74" Type="http://schemas.openxmlformats.org/officeDocument/2006/relationships/hyperlink" Target="https://rtf.nwcouncil.org/measure/green-motor-rewind/" TargetMode="External"/><Relationship Id="rId79" Type="http://schemas.openxmlformats.org/officeDocument/2006/relationships/hyperlink" Target="https://rtf.nwcouncil.org/measure/demand-response-irrigation-pump-controls/" TargetMode="External"/><Relationship Id="rId5" Type="http://schemas.openxmlformats.org/officeDocument/2006/relationships/hyperlink" Target="https://rtf.nwcouncil.org/measure/centrally-ducted-air-source-heat-pumps-upgrades-conversions/" TargetMode="External"/><Relationship Id="rId19" Type="http://schemas.openxmlformats.org/officeDocument/2006/relationships/hyperlink" Target="https://rtf.nwcouncil.org/measure/residential-gas-furnaces/" TargetMode="External"/><Relationship Id="rId14" Type="http://schemas.openxmlformats.org/officeDocument/2006/relationships/hyperlink" Target="https://rtf.nwcouncil.org/measure/griddles/" TargetMode="External"/><Relationship Id="rId22" Type="http://schemas.openxmlformats.org/officeDocument/2006/relationships/hyperlink" Target="https://rtf.nwcouncil.org/measure/small-commercial-dhps/" TargetMode="External"/><Relationship Id="rId27" Type="http://schemas.openxmlformats.org/officeDocument/2006/relationships/hyperlink" Target="https://rtf.nwcouncil.org/measure/energy-star-air-purifiers/" TargetMode="External"/><Relationship Id="rId30" Type="http://schemas.openxmlformats.org/officeDocument/2006/relationships/hyperlink" Target="https://rtf.nwcouncil.org/measure/new-manufactured-homes/" TargetMode="External"/><Relationship Id="rId35" Type="http://schemas.openxmlformats.org/officeDocument/2006/relationships/hyperlink" Target="https://rtf.nwcouncil.org/standard-protocol/non-residential-lighting-retrofits/" TargetMode="External"/><Relationship Id="rId43" Type="http://schemas.openxmlformats.org/officeDocument/2006/relationships/hyperlink" Target="https://rtf.nwcouncil.org/measure/anti-sweat-heater-controls/" TargetMode="External"/><Relationship Id="rId48" Type="http://schemas.openxmlformats.org/officeDocument/2006/relationships/hyperlink" Target="https://rtf.nwcouncil.org/measure/commercial-boilers/" TargetMode="External"/><Relationship Id="rId56" Type="http://schemas.openxmlformats.org/officeDocument/2006/relationships/hyperlink" Target="https://rtf.nwcouncil.org/measure/residential-gas-water-heaters-0/" TargetMode="External"/><Relationship Id="rId64" Type="http://schemas.openxmlformats.org/officeDocument/2006/relationships/hyperlink" Target="https://rtf.nwcouncil.org/measure/forced-circulation-generator-engine-block-heaters-nonresidential-standby-generators/" TargetMode="External"/><Relationship Id="rId69" Type="http://schemas.openxmlformats.org/officeDocument/2006/relationships/hyperlink" Target="https://rtf.nwcouncil.org/measure/manufactured-home-replacement/" TargetMode="External"/><Relationship Id="rId77" Type="http://schemas.openxmlformats.org/officeDocument/2006/relationships/hyperlink" Target="https://rtf.nwcouncil.org/measure/demand-overwrappers/" TargetMode="External"/><Relationship Id="rId8" Type="http://schemas.openxmlformats.org/officeDocument/2006/relationships/hyperlink" Target="https://rtf.nwcouncil.org/measure/commercial-connected-thermostats/" TargetMode="External"/><Relationship Id="rId51" Type="http://schemas.openxmlformats.org/officeDocument/2006/relationships/hyperlink" Target="https://rtf.nwcouncil.org/measure/clothes-washers-0/" TargetMode="External"/><Relationship Id="rId72" Type="http://schemas.openxmlformats.org/officeDocument/2006/relationships/hyperlink" Target="https://rtf.nwcouncil.org/standard-protocol/transformer-de-energizing/" TargetMode="External"/><Relationship Id="rId80" Type="http://schemas.openxmlformats.org/officeDocument/2006/relationships/hyperlink" Target="https://rtf.nwcouncil.org/measure/refrigerated-warehouse-controls/" TargetMode="External"/><Relationship Id="rId85" Type="http://schemas.openxmlformats.org/officeDocument/2006/relationships/comments" Target="../comments1.xml"/><Relationship Id="rId3" Type="http://schemas.openxmlformats.org/officeDocument/2006/relationships/hyperlink" Target="https://rtf.nwcouncil.org/measure/variable-speed-drives/" TargetMode="External"/><Relationship Id="rId12" Type="http://schemas.openxmlformats.org/officeDocument/2006/relationships/hyperlink" Target="https://rtf.nwcouncil.org/measure/combination-ovens/" TargetMode="External"/><Relationship Id="rId17" Type="http://schemas.openxmlformats.org/officeDocument/2006/relationships/hyperlink" Target="https://rtf.nwcouncil.org/measure/floating-head-pressure-controls-single-compressor-systems/" TargetMode="External"/><Relationship Id="rId25" Type="http://schemas.openxmlformats.org/officeDocument/2006/relationships/hyperlink" Target="https://rtf.nwcouncil.org/measure/ductless-heat-pumps-multifamily/" TargetMode="External"/><Relationship Id="rId33" Type="http://schemas.openxmlformats.org/officeDocument/2006/relationships/hyperlink" Target="https://rtf.nwcouncil.org/measure/performance-based-duct-sealing-mh/" TargetMode="External"/><Relationship Id="rId38" Type="http://schemas.openxmlformats.org/officeDocument/2006/relationships/hyperlink" Target="https://rtf.nwcouncil.org/measure/commercial-secondary-glazing-systems/" TargetMode="External"/><Relationship Id="rId46" Type="http://schemas.openxmlformats.org/officeDocument/2006/relationships/hyperlink" Target="https://rtf.nwcouncil.org/standard-protocol/voltage-optimization-protocol/" TargetMode="External"/><Relationship Id="rId59" Type="http://schemas.openxmlformats.org/officeDocument/2006/relationships/hyperlink" Target="https://rtf.nwcouncil.org/measure/ecms-walk-ins/" TargetMode="External"/><Relationship Id="rId67" Type="http://schemas.openxmlformats.org/officeDocument/2006/relationships/hyperlink" Target="https://rtf.nwcouncil.org/standard-protocol/compressed-air/" TargetMode="External"/><Relationship Id="rId20" Type="http://schemas.openxmlformats.org/officeDocument/2006/relationships/hyperlink" Target="https://rtf.nwcouncil.org/whole-building-efforts-0/" TargetMode="External"/><Relationship Id="rId41" Type="http://schemas.openxmlformats.org/officeDocument/2006/relationships/hyperlink" Target="https://rtf.nwcouncil.org/measure/electronic-thermostats/" TargetMode="External"/><Relationship Id="rId54" Type="http://schemas.openxmlformats.org/officeDocument/2006/relationships/hyperlink" Target="https://rtf.nwcouncil.org/measure/compressor-head-fan-motor-retrofit-ecm/" TargetMode="External"/><Relationship Id="rId62" Type="http://schemas.openxmlformats.org/officeDocument/2006/relationships/hyperlink" Target="https://rtf.nwcouncil.org/measure/single-family/" TargetMode="External"/><Relationship Id="rId70" Type="http://schemas.openxmlformats.org/officeDocument/2006/relationships/hyperlink" Target="https://rtf.nwcouncil.org/measure/thermostatic-shower-restriction-valve/" TargetMode="External"/><Relationship Id="rId75" Type="http://schemas.openxmlformats.org/officeDocument/2006/relationships/hyperlink" Target="https://rtf.nwcouncil.org/measure/stock-watering-tanks/" TargetMode="External"/><Relationship Id="rId83" Type="http://schemas.openxmlformats.org/officeDocument/2006/relationships/hyperlink" Target="https://rtf.nwcouncil.org/measure/commercial-heat-pump-water-heaters/" TargetMode="External"/><Relationship Id="rId1" Type="http://schemas.openxmlformats.org/officeDocument/2006/relationships/hyperlink" Target="https://rtf.nwcouncil.org/standard-protocol/non-residential-lighting-code-compliant/" TargetMode="External"/><Relationship Id="rId6" Type="http://schemas.openxmlformats.org/officeDocument/2006/relationships/hyperlink" Target="https://rtf.nwcouncil.org/measure/high-efficiency-residential-central-air-conditioners/" TargetMode="External"/><Relationship Id="rId15" Type="http://schemas.openxmlformats.org/officeDocument/2006/relationships/hyperlink" Target="https://rtf.nwcouncil.org/measure/hot-food-holding-cabinets/" TargetMode="External"/><Relationship Id="rId23" Type="http://schemas.openxmlformats.org/officeDocument/2006/relationships/hyperlink" Target="https://rtf.nwcouncil.org/standard-protocol/new-homes/" TargetMode="External"/><Relationship Id="rId28" Type="http://schemas.openxmlformats.org/officeDocument/2006/relationships/hyperlink" Target="https://rtf.nwcouncil.org/measure/retrofit-or-upgrade-doors-existing-display-cases/" TargetMode="External"/><Relationship Id="rId36" Type="http://schemas.openxmlformats.org/officeDocument/2006/relationships/hyperlink" Target="https://rtf.nwcouncil.org/measure/connected-thermostats/" TargetMode="External"/><Relationship Id="rId49" Type="http://schemas.openxmlformats.org/officeDocument/2006/relationships/hyperlink" Target="https://rtf.nwcouncil.org/standard-protocol/commercial-boiler-systems/" TargetMode="External"/><Relationship Id="rId57" Type="http://schemas.openxmlformats.org/officeDocument/2006/relationships/hyperlink" Target="https://rtf.nwcouncil.org/measure/efficient-pumps/" TargetMode="External"/><Relationship Id="rId10" Type="http://schemas.openxmlformats.org/officeDocument/2006/relationships/hyperlink" Target="https://rtf.nwcouncil.org/measure/convection-ovens/" TargetMode="External"/><Relationship Id="rId31" Type="http://schemas.openxmlformats.org/officeDocument/2006/relationships/hyperlink" Target="https://rtf.nwcouncil.org/measure/hpwh/" TargetMode="External"/><Relationship Id="rId44" Type="http://schemas.openxmlformats.org/officeDocument/2006/relationships/hyperlink" Target="https://rtf.nwcouncil.org/measure/ice-makers/" TargetMode="External"/><Relationship Id="rId52" Type="http://schemas.openxmlformats.org/officeDocument/2006/relationships/hyperlink" Target="https://rtf.nwcouncil.org/measure/clothes-washers/" TargetMode="External"/><Relationship Id="rId60" Type="http://schemas.openxmlformats.org/officeDocument/2006/relationships/hyperlink" Target="https://rtf.nwcouncil.org/measure/level-2-electric-vehicle-charger/" TargetMode="External"/><Relationship Id="rId65" Type="http://schemas.openxmlformats.org/officeDocument/2006/relationships/hyperlink" Target="https://rtf.nwcouncil.org/measure/engine-block-heater-controls/" TargetMode="External"/><Relationship Id="rId73" Type="http://schemas.openxmlformats.org/officeDocument/2006/relationships/hyperlink" Target="https://rtf.nwcouncil.org/standard-protocol/floating-pressure-controls-for-multiplex-systems-standard-protocol/" TargetMode="External"/><Relationship Id="rId78" Type="http://schemas.openxmlformats.org/officeDocument/2006/relationships/hyperlink" Target="https://rtf.nwcouncil.org/measure/display-case-lighting/" TargetMode="External"/><Relationship Id="rId81" Type="http://schemas.openxmlformats.org/officeDocument/2006/relationships/hyperlink" Target="https://rtf.nwcouncil.org/measure/package-terminal-heat-pumps-commercial-lodging/" TargetMode="External"/><Relationship Id="rId86" Type="http://schemas.microsoft.com/office/2017/10/relationships/threadedComment" Target="../threadedComments/threadedComment1.xml"/><Relationship Id="rId4" Type="http://schemas.openxmlformats.org/officeDocument/2006/relationships/hyperlink" Target="https://rtf.nwcouncil.org/measure/circulator-pumps/" TargetMode="External"/><Relationship Id="rId9" Type="http://schemas.openxmlformats.org/officeDocument/2006/relationships/hyperlink" Target="https://rtf.nwcouncil.org/measure/steamers/" TargetMode="External"/><Relationship Id="rId13" Type="http://schemas.openxmlformats.org/officeDocument/2006/relationships/hyperlink" Target="https://rtf.nwcouncil.org/measure/fryers/" TargetMode="External"/><Relationship Id="rId18" Type="http://schemas.openxmlformats.org/officeDocument/2006/relationships/hyperlink" Target="https://rtf.nwcouncil.org/measure/strip-curtains/" TargetMode="External"/><Relationship Id="rId39" Type="http://schemas.openxmlformats.org/officeDocument/2006/relationships/hyperlink" Target="https://rtf.nwcouncil.org/measure/irrigation-hardware-upgrades/" TargetMode="External"/><Relationship Id="rId34" Type="http://schemas.openxmlformats.org/officeDocument/2006/relationships/hyperlink" Target="https://rtf.nwcouncil.org/measure/door-sweeps/" TargetMode="External"/><Relationship Id="rId50" Type="http://schemas.openxmlformats.org/officeDocument/2006/relationships/hyperlink" Target="https://rtf.nwcouncil.org/measure/clothes-dryers-sf-mh-and-mf-unit/" TargetMode="External"/><Relationship Id="rId55" Type="http://schemas.openxmlformats.org/officeDocument/2006/relationships/hyperlink" Target="https://rtf.nwcouncil.org/measure/ecms-display-cases/" TargetMode="External"/><Relationship Id="rId76" Type="http://schemas.openxmlformats.org/officeDocument/2006/relationships/hyperlink" Target="https://rtf.nwcouncil.org/measure/thermostatically-controlled-outlet-pump-house-heaters/" TargetMode="External"/><Relationship Id="rId7" Type="http://schemas.openxmlformats.org/officeDocument/2006/relationships/hyperlink" Target="https://rtf.nwcouncil.org/measure/residential-refrigerators-and-freezers/" TargetMode="External"/><Relationship Id="rId71" Type="http://schemas.openxmlformats.org/officeDocument/2006/relationships/hyperlink" Target="https://rtf.nwcouncil.org/standard-protocol/demand-controlled-kitchen-ventilation-standard-protocol/" TargetMode="External"/><Relationship Id="rId2" Type="http://schemas.openxmlformats.org/officeDocument/2006/relationships/hyperlink" Target="https://rtf.nwcouncil.org/measure/advanced-rooftop-controls/" TargetMode="External"/><Relationship Id="rId29" Type="http://schemas.openxmlformats.org/officeDocument/2006/relationships/hyperlink" Target="https://rtf.nwcouncil.org/measure/ductless-heat-pumps-zonal-heat-sf/" TargetMode="External"/><Relationship Id="rId24" Type="http://schemas.openxmlformats.org/officeDocument/2006/relationships/hyperlink" Target="https://rtf.nwcouncil.org/measure/ductless-heat-pump-forced-air-furnace-sf-and-mh/" TargetMode="External"/><Relationship Id="rId40" Type="http://schemas.openxmlformats.org/officeDocument/2006/relationships/hyperlink" Target="https://rtf.nwcouncil.org/measure/freezers/" TargetMode="External"/><Relationship Id="rId45" Type="http://schemas.openxmlformats.org/officeDocument/2006/relationships/hyperlink" Target="https://rtf.nwcouncil.org/measure/school/" TargetMode="External"/><Relationship Id="rId66" Type="http://schemas.openxmlformats.org/officeDocument/2006/relationships/hyperlink" Target="https://rtf.nwcouncil.org/measure/pthp-multifamily/" TargetMode="External"/><Relationship Id="rId61" Type="http://schemas.openxmlformats.org/officeDocument/2006/relationships/hyperlink" Target="https://rtf.nwcouncil.org/measure/manufactured-home-weatherization/" TargetMode="External"/><Relationship Id="rId82" Type="http://schemas.openxmlformats.org/officeDocument/2006/relationships/hyperlink" Target="https://rtf.nwcouncil.org/standard-protocol/whole-building-perfromance-commercial/"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BE5591-A7E6-464B-BB96-597AE2F406FD}">
  <sheetPr codeName="Sheet1"/>
  <dimension ref="B1:G14"/>
  <sheetViews>
    <sheetView tabSelected="1" workbookViewId="0">
      <selection activeCell="B2" sqref="B2"/>
    </sheetView>
  </sheetViews>
  <sheetFormatPr defaultRowHeight="15.6" x14ac:dyDescent="0.3"/>
  <cols>
    <col min="2" max="2" width="24.44140625" customWidth="1"/>
    <col min="3" max="3" width="93.33203125" customWidth="1"/>
    <col min="5" max="5" width="31.109375" style="2" customWidth="1"/>
    <col min="6" max="6" width="22.6640625" style="2" customWidth="1"/>
    <col min="7" max="7" width="51.33203125" customWidth="1"/>
  </cols>
  <sheetData>
    <row r="1" spans="2:7" ht="18" x14ac:dyDescent="0.35">
      <c r="B1" s="1" t="s">
        <v>0</v>
      </c>
    </row>
    <row r="2" spans="2:7" x14ac:dyDescent="0.3">
      <c r="B2" s="3" t="s">
        <v>642</v>
      </c>
    </row>
    <row r="4" spans="2:7" x14ac:dyDescent="0.3">
      <c r="B4" s="4" t="s">
        <v>1</v>
      </c>
      <c r="C4" s="4" t="s">
        <v>2</v>
      </c>
      <c r="E4" s="5" t="s">
        <v>3</v>
      </c>
      <c r="F4" s="5" t="s">
        <v>4</v>
      </c>
      <c r="G4" s="5" t="s">
        <v>5</v>
      </c>
    </row>
    <row r="5" spans="2:7" ht="31.5" customHeight="1" x14ac:dyDescent="0.25">
      <c r="B5" s="196" t="s">
        <v>8</v>
      </c>
      <c r="C5" s="6" t="s">
        <v>605</v>
      </c>
      <c r="E5" s="7" t="s">
        <v>6</v>
      </c>
      <c r="F5" s="442" t="s">
        <v>7</v>
      </c>
      <c r="G5" s="442" t="s">
        <v>43</v>
      </c>
    </row>
    <row r="6" spans="2:7" ht="34.5" customHeight="1" x14ac:dyDescent="0.25">
      <c r="B6" s="196" t="s">
        <v>525</v>
      </c>
      <c r="C6" s="6" t="s">
        <v>606</v>
      </c>
      <c r="E6" s="7" t="s">
        <v>9</v>
      </c>
      <c r="F6" s="442"/>
      <c r="G6" s="442"/>
    </row>
    <row r="7" spans="2:7" ht="62.4" x14ac:dyDescent="0.25">
      <c r="B7" s="197" t="s">
        <v>609</v>
      </c>
      <c r="C7" s="6" t="s">
        <v>20</v>
      </c>
      <c r="E7" s="7" t="s">
        <v>10</v>
      </c>
      <c r="F7" s="442"/>
      <c r="G7" s="442"/>
    </row>
    <row r="8" spans="2:7" ht="31.2" x14ac:dyDescent="0.25">
      <c r="B8" s="197" t="s">
        <v>21</v>
      </c>
      <c r="C8" s="6" t="s">
        <v>22</v>
      </c>
      <c r="E8" s="8" t="s">
        <v>11</v>
      </c>
      <c r="F8" s="443" t="s">
        <v>44</v>
      </c>
      <c r="G8" s="443" t="s">
        <v>45</v>
      </c>
    </row>
    <row r="9" spans="2:7" ht="31.2" x14ac:dyDescent="0.25">
      <c r="B9" s="197" t="s">
        <v>23</v>
      </c>
      <c r="C9" s="6" t="s">
        <v>526</v>
      </c>
      <c r="E9" s="8" t="s">
        <v>12</v>
      </c>
      <c r="F9" s="443"/>
      <c r="G9" s="443"/>
    </row>
    <row r="10" spans="2:7" ht="78" x14ac:dyDescent="0.25">
      <c r="B10" s="197" t="s">
        <v>24</v>
      </c>
      <c r="C10" s="6" t="s">
        <v>46</v>
      </c>
      <c r="E10" s="9" t="s">
        <v>13</v>
      </c>
      <c r="F10" s="10" t="s">
        <v>13</v>
      </c>
      <c r="G10" s="11" t="s">
        <v>374</v>
      </c>
    </row>
    <row r="11" spans="2:7" ht="46.8" x14ac:dyDescent="0.25">
      <c r="B11" s="197" t="s">
        <v>18</v>
      </c>
      <c r="C11" s="6" t="s">
        <v>19</v>
      </c>
      <c r="E11" s="9" t="s">
        <v>41</v>
      </c>
      <c r="F11" s="11" t="s">
        <v>41</v>
      </c>
      <c r="G11" s="11" t="s">
        <v>47</v>
      </c>
    </row>
    <row r="12" spans="2:7" ht="47.25" customHeight="1" x14ac:dyDescent="0.25">
      <c r="B12" s="197" t="s">
        <v>628</v>
      </c>
      <c r="C12" s="6" t="s">
        <v>610</v>
      </c>
      <c r="E12" s="12" t="s">
        <v>14</v>
      </c>
      <c r="F12" s="436" t="s">
        <v>15</v>
      </c>
      <c r="G12" s="439" t="s">
        <v>16</v>
      </c>
    </row>
    <row r="13" spans="2:7" ht="31.2" x14ac:dyDescent="0.25">
      <c r="B13" s="197" t="s">
        <v>350</v>
      </c>
      <c r="C13" s="6" t="s">
        <v>351</v>
      </c>
      <c r="E13" s="12" t="s">
        <v>17</v>
      </c>
      <c r="F13" s="437"/>
      <c r="G13" s="440"/>
    </row>
    <row r="14" spans="2:7" x14ac:dyDescent="0.25">
      <c r="E14" s="12" t="s">
        <v>15</v>
      </c>
      <c r="F14" s="438"/>
      <c r="G14" s="441"/>
    </row>
  </sheetData>
  <mergeCells count="6">
    <mergeCell ref="F12:F14"/>
    <mergeCell ref="G12:G14"/>
    <mergeCell ref="F5:F7"/>
    <mergeCell ref="G5:G7"/>
    <mergeCell ref="F8:F9"/>
    <mergeCell ref="G8:G9"/>
  </mergeCells>
  <hyperlinks>
    <hyperlink ref="B8" location="'Funding Shares'!A1" display="Funding Shares" xr:uid="{CC0D5BE5-3CA0-4D08-8301-E74A06CB1F3F}"/>
    <hyperlink ref="B5" location="'Category History'!A1" display="Category History" xr:uid="{A1822890-448D-4C5E-9139-1546FD3BC11A}"/>
    <hyperlink ref="B9" location="Carryover!A1" display="Carryover" xr:uid="{FF557B94-B886-4754-80C7-A219FBA4C5BC}"/>
    <hyperlink ref="B10" location="'Funding Splits'!A1" display="Funding Splits" xr:uid="{CC2FAE89-C8B4-4F20-B641-73F95D894C39}"/>
    <hyperlink ref="B11" location="'NWPCC In Kind'!A1" display="NWPCC In-Kind" xr:uid="{A201AD29-4EC7-496D-A443-65BDDAF89B52}"/>
    <hyperlink ref="B13" location="Sheet11!A1" display="Measures and Cost Assumptions" xr:uid="{2FAAA14E-D782-462D-A887-3D78CF993291}"/>
    <hyperlink ref="B7" location="'Strategic Plan (2025-2029)'!A1" display="Strategic Plan (2025-2029)" xr:uid="{4068B1F8-4808-4941-A948-293EAB6A82CF}"/>
    <hyperlink ref="B12" location="'Work Plan Based SP'!A1" display="Work Plan Based on Strategic Plan Amounts" xr:uid="{D9CF3A13-1E13-4BBC-A132-494DD881CA94}"/>
    <hyperlink ref="B6" location="'Category Detail for 2025'!A1" display="Category Detail for 2025" xr:uid="{AA6E25C7-5C5A-4AC2-BB29-90C4BF2DE43E}"/>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72EF45-67B8-4E70-B475-E90CA4F5FD94}">
  <sheetPr codeName="Sheet10"/>
  <dimension ref="A1:Q140"/>
  <sheetViews>
    <sheetView topLeftCell="A21" workbookViewId="0">
      <selection activeCell="L37" sqref="L37"/>
    </sheetView>
  </sheetViews>
  <sheetFormatPr defaultColWidth="9.109375" defaultRowHeight="13.8" x14ac:dyDescent="0.3"/>
  <cols>
    <col min="1" max="1" width="54.6640625" style="95" customWidth="1"/>
    <col min="2" max="2" width="17.5546875" style="95" customWidth="1"/>
    <col min="3" max="3" width="20" style="95" customWidth="1"/>
    <col min="4" max="4" width="16.5546875" style="95" customWidth="1"/>
    <col min="5" max="5" width="17.6640625" style="95" customWidth="1"/>
    <col min="6" max="6" width="17.33203125" style="95" customWidth="1"/>
    <col min="7" max="7" width="18.109375" style="95" customWidth="1"/>
    <col min="8" max="8" width="23.6640625" style="95" customWidth="1"/>
    <col min="9" max="9" width="18.109375" style="95" customWidth="1"/>
    <col min="10" max="10" width="19.6640625" style="95" customWidth="1"/>
    <col min="11" max="12" width="12.33203125" style="95" bestFit="1" customWidth="1"/>
    <col min="13" max="13" width="11" style="95" bestFit="1" customWidth="1"/>
    <col min="14" max="15" width="9.109375" style="95"/>
    <col min="16" max="16" width="47.6640625" style="95" bestFit="1" customWidth="1"/>
    <col min="17" max="16384" width="9.109375" style="95"/>
  </cols>
  <sheetData>
    <row r="1" spans="1:17" s="148" customFormat="1" ht="18" x14ac:dyDescent="0.35">
      <c r="A1" s="1" t="s">
        <v>120</v>
      </c>
      <c r="K1" s="149"/>
      <c r="L1" s="149"/>
      <c r="M1" s="149"/>
      <c r="N1" s="149"/>
      <c r="O1" s="149"/>
    </row>
    <row r="2" spans="1:17" s="148" customFormat="1" ht="14.4" x14ac:dyDescent="0.3">
      <c r="A2" s="3" t="str">
        <f>'Table of Contents'!B2</f>
        <v>Final 2026 RTF Work Plan - October 7, 2025</v>
      </c>
      <c r="K2" s="149"/>
      <c r="L2" s="149"/>
      <c r="M2" s="149"/>
      <c r="N2" s="149"/>
      <c r="O2" s="149"/>
    </row>
    <row r="3" spans="1:17" s="148" customFormat="1" ht="14.4" x14ac:dyDescent="0.3">
      <c r="K3" s="149"/>
      <c r="L3" s="149"/>
      <c r="M3" s="149"/>
      <c r="N3" s="149"/>
      <c r="O3" s="149"/>
    </row>
    <row r="4" spans="1:17" s="148" customFormat="1" ht="28.5" customHeight="1" x14ac:dyDescent="0.3">
      <c r="A4" s="150" t="s">
        <v>121</v>
      </c>
      <c r="B4" s="151" t="s">
        <v>122</v>
      </c>
      <c r="C4" s="151" t="s">
        <v>123</v>
      </c>
      <c r="D4" s="151" t="s">
        <v>124</v>
      </c>
      <c r="E4" s="151" t="s">
        <v>125</v>
      </c>
      <c r="F4" s="151" t="s">
        <v>126</v>
      </c>
      <c r="H4" s="148" t="s">
        <v>127</v>
      </c>
      <c r="I4" s="148" t="s">
        <v>128</v>
      </c>
      <c r="J4" s="148" t="s">
        <v>129</v>
      </c>
      <c r="K4" s="148" t="s">
        <v>130</v>
      </c>
      <c r="L4" s="148" t="s">
        <v>131</v>
      </c>
      <c r="M4" s="149"/>
      <c r="N4" s="149"/>
      <c r="O4" s="149"/>
      <c r="P4" s="64" t="s">
        <v>433</v>
      </c>
      <c r="Q4" s="64" t="s">
        <v>434</v>
      </c>
    </row>
    <row r="5" spans="1:17" ht="31.2" x14ac:dyDescent="0.3">
      <c r="A5" s="95" t="s">
        <v>132</v>
      </c>
      <c r="B5" s="152">
        <v>5500</v>
      </c>
      <c r="C5" s="153">
        <v>5700</v>
      </c>
      <c r="D5" s="153">
        <v>5900</v>
      </c>
      <c r="E5" s="153">
        <v>6100</v>
      </c>
      <c r="F5" s="153">
        <v>6300</v>
      </c>
      <c r="G5" s="153"/>
      <c r="H5" s="153">
        <f>$B$5*COUNTIF(K31:K139,"x")</f>
        <v>165000</v>
      </c>
      <c r="I5" s="153">
        <f>$B$5*COUNTIF(L31:L139,"x")</f>
        <v>192500</v>
      </c>
      <c r="J5" s="153">
        <f>$B$5*COUNTIF(M31:M139,"x")</f>
        <v>187000</v>
      </c>
      <c r="K5" s="153">
        <f>$B$5*COUNTIF(N31:N139,"x")</f>
        <v>148500</v>
      </c>
      <c r="L5" s="153">
        <f>$B$5*COUNTIF(O31:O139,"x")</f>
        <v>148500</v>
      </c>
      <c r="P5" s="193" t="s">
        <v>418</v>
      </c>
      <c r="Q5" s="47">
        <v>0.2</v>
      </c>
    </row>
    <row r="6" spans="1:17" ht="15.6" x14ac:dyDescent="0.3">
      <c r="A6" s="95" t="s">
        <v>133</v>
      </c>
      <c r="B6" s="152">
        <v>16500</v>
      </c>
      <c r="C6" s="153">
        <v>17100</v>
      </c>
      <c r="D6" s="153">
        <v>17700</v>
      </c>
      <c r="E6" s="153">
        <v>18300</v>
      </c>
      <c r="F6" s="153">
        <v>18900</v>
      </c>
      <c r="G6" s="153"/>
      <c r="H6" s="153">
        <f>$B$6*COUNTIF(K32:K140,"x")</f>
        <v>495000</v>
      </c>
      <c r="I6" s="153">
        <f>$B$6*COUNTIF(L32:L140,"x")</f>
        <v>561000</v>
      </c>
      <c r="J6" s="153">
        <f>$B$6*COUNTIF(M32:M140,"x")</f>
        <v>561000</v>
      </c>
      <c r="K6" s="153">
        <f>$B$6*COUNTIF(N32:N140,"x")</f>
        <v>445500</v>
      </c>
      <c r="L6" s="153">
        <f>$B$6*COUNTIF(O32:O140,"x")</f>
        <v>445500</v>
      </c>
      <c r="P6" s="193" t="s">
        <v>420</v>
      </c>
      <c r="Q6" s="47">
        <v>0.3</v>
      </c>
    </row>
    <row r="7" spans="1:17" ht="31.2" x14ac:dyDescent="0.3">
      <c r="A7" s="95" t="s">
        <v>134</v>
      </c>
      <c r="B7" s="154">
        <v>70000</v>
      </c>
      <c r="C7" s="153">
        <v>72500</v>
      </c>
      <c r="D7" s="153">
        <v>75000</v>
      </c>
      <c r="E7" s="153">
        <v>77600</v>
      </c>
      <c r="F7" s="153">
        <v>80300</v>
      </c>
      <c r="G7" s="153"/>
      <c r="H7" s="153"/>
      <c r="I7" s="153"/>
      <c r="J7" s="153"/>
      <c r="K7" s="153"/>
      <c r="L7" s="153"/>
      <c r="P7" s="193" t="s">
        <v>422</v>
      </c>
      <c r="Q7" s="47">
        <v>0.19</v>
      </c>
    </row>
    <row r="8" spans="1:17" ht="15.6" x14ac:dyDescent="0.3">
      <c r="A8" s="95" t="s">
        <v>135</v>
      </c>
      <c r="B8" s="152">
        <v>1000</v>
      </c>
      <c r="C8" s="153">
        <v>1050</v>
      </c>
      <c r="D8" s="153">
        <v>1100</v>
      </c>
      <c r="E8" s="153">
        <v>1150</v>
      </c>
      <c r="F8" s="153">
        <v>1200</v>
      </c>
      <c r="G8" s="153"/>
      <c r="H8" s="153">
        <f>$B$8*COUNTIF(K34:K142,"x")</f>
        <v>28000</v>
      </c>
      <c r="I8" s="153">
        <f>$B$8*COUNTIF(L34:L142,"x")</f>
        <v>34000</v>
      </c>
      <c r="J8" s="153">
        <f>$B$8*COUNTIF(M34:M142,"x")</f>
        <v>34000</v>
      </c>
      <c r="K8" s="153">
        <f>$B$8*COUNTIF(N34:N142,"x")</f>
        <v>27000</v>
      </c>
      <c r="L8" s="153">
        <f>$B$8*COUNTIF(O34:O142,"x")</f>
        <v>26000</v>
      </c>
      <c r="P8" s="193" t="s">
        <v>424</v>
      </c>
      <c r="Q8" s="47">
        <v>0.1</v>
      </c>
    </row>
    <row r="9" spans="1:17" ht="15.6" x14ac:dyDescent="0.3">
      <c r="C9" s="155"/>
      <c r="P9" s="193" t="s">
        <v>426</v>
      </c>
      <c r="Q9" s="47">
        <v>0.2</v>
      </c>
    </row>
    <row r="10" spans="1:17" ht="15.6" x14ac:dyDescent="0.3">
      <c r="P10" s="193" t="s">
        <v>428</v>
      </c>
      <c r="Q10" s="47">
        <v>0.01</v>
      </c>
    </row>
    <row r="11" spans="1:17" ht="15.6" x14ac:dyDescent="0.3">
      <c r="A11" s="156" t="s">
        <v>136</v>
      </c>
      <c r="B11" s="156">
        <v>2025</v>
      </c>
      <c r="C11" s="156">
        <v>2026</v>
      </c>
      <c r="D11" s="156">
        <v>2027</v>
      </c>
      <c r="E11" s="156">
        <v>2028</v>
      </c>
      <c r="F11" s="156">
        <v>2029</v>
      </c>
      <c r="H11" s="95" t="s">
        <v>137</v>
      </c>
      <c r="I11" s="152">
        <v>600</v>
      </c>
    </row>
    <row r="12" spans="1:17" x14ac:dyDescent="0.3">
      <c r="A12" s="95" t="s">
        <v>138</v>
      </c>
      <c r="B12" s="95">
        <v>1</v>
      </c>
      <c r="C12" s="95">
        <v>1</v>
      </c>
      <c r="D12" s="95">
        <v>1</v>
      </c>
      <c r="E12" s="95">
        <v>1</v>
      </c>
      <c r="F12" s="95">
        <v>1</v>
      </c>
      <c r="H12" s="95" t="s">
        <v>139</v>
      </c>
      <c r="I12" s="152">
        <v>27700</v>
      </c>
    </row>
    <row r="13" spans="1:17" x14ac:dyDescent="0.3">
      <c r="A13" s="95" t="s">
        <v>140</v>
      </c>
      <c r="B13" s="95">
        <f>COUNTIFS($D$30:$D$140,"electric",$E$30:$E$140,"no",$I$30:$I$140,"New EE",$K$30:$K$140,"x")</f>
        <v>1</v>
      </c>
      <c r="C13" s="95">
        <f>COUNTIFS($D$30:$D$140,"electric",$E$30:$E$140,"no",$I$30:$I$140,"New EE",$L$30:$L$140,"x")</f>
        <v>2</v>
      </c>
      <c r="D13" s="95">
        <f>COUNTIFS($D$30:$D$140,"electric",$E$30:$E$140,"no",$I$30:$I$140,"New EE",$M$30:$M$140,"x")</f>
        <v>0</v>
      </c>
      <c r="E13" s="95">
        <f>COUNTIFS($D$30:$D$140,"electric",$E$30:$E$140,"no",$I$30:$I$140,"New EE",$N$30:$N$140,"x")</f>
        <v>3</v>
      </c>
      <c r="F13" s="95">
        <f>COUNTIFS($D$30:$D$140,"electric",$E$30:$E$140,"no",$I$30:$I$140,"New EE",$O$30:$O$140,"x")</f>
        <v>5</v>
      </c>
    </row>
    <row r="14" spans="1:17" x14ac:dyDescent="0.3">
      <c r="A14" s="95" t="s">
        <v>141</v>
      </c>
      <c r="B14" s="95">
        <f>COUNTIFS($D$30:$D$140,"electric",$E$30:$E$140,"yes",$I$30:$I$140,"New EE",$K$30:$K$140,"x")</f>
        <v>2</v>
      </c>
      <c r="C14" s="95">
        <f>COUNTIFS($D$30:$D$140,"electric",$E$30:$E$140,"yes",$I$30:$I$140,"New EE",$L$30:$L$140,"x")</f>
        <v>2</v>
      </c>
      <c r="D14" s="95">
        <f>COUNTIFS($D$30:$D$140,"electric",$E$30:$E$140,"yes",$I$30:$I$140,"New EE",$M$30:$M$140,"x")</f>
        <v>0</v>
      </c>
      <c r="E14" s="95">
        <f>COUNTIFS($D$30:$D$140,"electric",$E$30:$E$140,"yes",$I$30:$I$140,"New EE",$N$30:$N$140,"x")</f>
        <v>3</v>
      </c>
      <c r="F14" s="95">
        <f>COUNTIFS($D$30:$D$140,"electric",$E$30:$E$140,"yes",$I$30:$I$140,"New EE",$O$30:$O$140,"x")</f>
        <v>2</v>
      </c>
      <c r="I14" s="95">
        <v>2025</v>
      </c>
      <c r="J14" s="95">
        <v>2026</v>
      </c>
      <c r="K14" s="95">
        <v>2027</v>
      </c>
      <c r="L14" s="95">
        <v>2028</v>
      </c>
      <c r="M14" s="95">
        <v>2029</v>
      </c>
    </row>
    <row r="15" spans="1:17" x14ac:dyDescent="0.3">
      <c r="A15" s="95" t="s">
        <v>142</v>
      </c>
      <c r="B15" s="95">
        <f>COUNTIFS($D$30:$D$140,"dual",$E$30:$E$140,"no",$I$30:$I$140,"New EE",$K$30:$K$140,"x")</f>
        <v>1</v>
      </c>
      <c r="C15" s="95">
        <f>COUNTIFS($D$30:$D$140,"dual",$E$30:$E$140,"no",$I$30:$I$140,"New EE",$L$30:$L$140,"x")</f>
        <v>0</v>
      </c>
      <c r="D15" s="95">
        <f>COUNTIFS($D$30:$D$140,"dual",$E$30:$E$140,"no",$I$30:$I$140,"New EE",$M$30:$M$140,"x")</f>
        <v>1</v>
      </c>
      <c r="E15" s="95">
        <f>COUNTIFS($D$30:$D$140,"dual",$E$30:$E$140,"no",$I$30:$I$140,"New EE",$N$30:$N$140,"x")</f>
        <v>1</v>
      </c>
      <c r="F15" s="95">
        <f>COUNTIFS($D$30:$D$140,"dual",$E$30:$E$140,"no",$I$30:$I$140,"New EE",$O$30:$O$140,"x")</f>
        <v>0</v>
      </c>
      <c r="H15" s="95" t="s">
        <v>143</v>
      </c>
      <c r="I15" s="95">
        <v>7</v>
      </c>
      <c r="J15" s="95">
        <v>8</v>
      </c>
      <c r="K15" s="95">
        <v>8</v>
      </c>
      <c r="L15" s="95">
        <v>8</v>
      </c>
      <c r="M15" s="95">
        <v>10</v>
      </c>
    </row>
    <row r="16" spans="1:17" x14ac:dyDescent="0.3">
      <c r="A16" s="95" t="s">
        <v>144</v>
      </c>
      <c r="B16" s="95">
        <f>COUNTIFS($D$30:$D$140,"gas",$E$30:$E$140,"no",$I$30:$I$140,"New EE",$K$30:$K$140,"x")</f>
        <v>0</v>
      </c>
      <c r="C16" s="95">
        <f>COUNTIFS($D$30:$D$140,"gas",$E$30:$E$140,"no",$I$30:$I$140,"New EE",$L$30:$L$140,"x")</f>
        <v>1</v>
      </c>
      <c r="D16" s="95">
        <f>COUNTIFS($D$30:$D$140,"gas",$E$30:$E$140,"no",$I$30:$I$140,"New EE",$M$30:$M$140,"x")</f>
        <v>0</v>
      </c>
      <c r="E16" s="95">
        <f>COUNTIFS($D$30:$D$140,"gas",$E$30:$E$140,"no",$I$30:$I$140,"New EE",$N$30:$N$140,"x")</f>
        <v>2</v>
      </c>
      <c r="F16" s="95">
        <f>COUNTIFS($D$30:$D$140,"gas",$E$30:$E$140,"no",$I$30:$I$140,"New EE",$O$30:$O$140,"x")</f>
        <v>1</v>
      </c>
      <c r="H16" s="95" t="s">
        <v>145</v>
      </c>
      <c r="I16" s="153">
        <v>4200</v>
      </c>
      <c r="J16" s="152">
        <f>620*J15</f>
        <v>4960</v>
      </c>
      <c r="K16" s="152">
        <f>620*K15</f>
        <v>4960</v>
      </c>
      <c r="L16" s="152">
        <f t="shared" ref="L16:M16" si="0">620*L15</f>
        <v>4960</v>
      </c>
      <c r="M16" s="152">
        <f t="shared" si="0"/>
        <v>6200</v>
      </c>
    </row>
    <row r="17" spans="1:16" x14ac:dyDescent="0.3">
      <c r="A17" s="95" t="s">
        <v>146</v>
      </c>
      <c r="B17" s="95">
        <f>COUNTIFS($D$30:$D$140,"dual",$E$30:$E$140,"no",$I$30:$I$140,"New Guidance",$K$30:$K$140,"x")</f>
        <v>0</v>
      </c>
      <c r="C17" s="95">
        <f>COUNTIFS($D$30:$D$140,"dual",$E$30:$E$140,"no",$I$30:$I$140,"New Guidance",$L$30:$L$140,"x")</f>
        <v>0</v>
      </c>
      <c r="D17" s="95">
        <f>COUNTIFS($D$30:$D$140,"dual",$E$30:$E$140,"no",$I$30:$I$140,"New Guidance",$M$30:$M$140,"x")</f>
        <v>0</v>
      </c>
      <c r="E17" s="95">
        <f>COUNTIFS($D$30:$D$140,"dual",$E$30:$E$140,"no",$I$30:$I$140,"New Guidance",$N$30:$N$140,"x")</f>
        <v>0</v>
      </c>
      <c r="F17" s="95">
        <f>COUNTIFS($D$30:$D$140,"dual",$E$30:$E$140,"no",$I$30:$I$140,"New Guidance",$O$30:$O$140,"x")</f>
        <v>1</v>
      </c>
      <c r="H17" s="95" t="s">
        <v>147</v>
      </c>
      <c r="I17" s="152">
        <v>27700</v>
      </c>
      <c r="J17" s="152">
        <v>28700</v>
      </c>
      <c r="K17" s="152">
        <v>29700</v>
      </c>
      <c r="L17" s="152">
        <v>30700</v>
      </c>
      <c r="M17" s="152">
        <v>31800</v>
      </c>
    </row>
    <row r="18" spans="1:16" x14ac:dyDescent="0.3">
      <c r="A18" s="95" t="s">
        <v>148</v>
      </c>
      <c r="B18" s="95">
        <f>COUNTIFS($D$30:$D$140,"electric",$E$30:$E$140,"yes",$I$30:$I$140,"New DR",$K$30:$K$140,"x")</f>
        <v>0</v>
      </c>
      <c r="C18" s="95">
        <f>COUNTIFS($D$30:$D$140,"electric",$E$30:$E$140,"yes",$I$30:$I$140,"New DR",$L$30:$L$140,"x")</f>
        <v>1</v>
      </c>
      <c r="D18" s="95">
        <f>COUNTIFS($D$30:$D$140,"electric",$E$30:$E$140,"yes",$I$30:$I$140,"New DR",$M$30:$M$140,"x")</f>
        <v>0</v>
      </c>
      <c r="E18" s="95">
        <f>COUNTIFS($D$30:$D$140,"electric",$E$30:$E$140,"yes",$I$30:$I$140,"New DR",$N$30:$N$140,"x")</f>
        <v>0</v>
      </c>
      <c r="F18" s="95">
        <f>COUNTIFS($D$30:$D$140,"electric",$E$30:$E$140,"yes",$I$30:$I$140,"New DR",$O$30:$O$140,"x")</f>
        <v>1</v>
      </c>
      <c r="H18" s="95" t="s">
        <v>149</v>
      </c>
      <c r="I18" s="152">
        <v>7200</v>
      </c>
      <c r="J18" s="152">
        <v>7500</v>
      </c>
      <c r="K18" s="152">
        <v>7800</v>
      </c>
      <c r="L18" s="152">
        <v>8100</v>
      </c>
      <c r="M18" s="152">
        <v>8400</v>
      </c>
    </row>
    <row r="19" spans="1:16" x14ac:dyDescent="0.3">
      <c r="H19" s="95" t="s">
        <v>150</v>
      </c>
      <c r="I19" s="152">
        <v>62300</v>
      </c>
      <c r="J19" s="152">
        <v>64500</v>
      </c>
      <c r="K19" s="152">
        <v>66800</v>
      </c>
      <c r="L19" s="152">
        <v>69100</v>
      </c>
      <c r="M19" s="152">
        <v>71500</v>
      </c>
    </row>
    <row r="20" spans="1:16" ht="15.6" x14ac:dyDescent="0.3">
      <c r="A20" s="156" t="s">
        <v>151</v>
      </c>
      <c r="B20" s="156">
        <v>2025</v>
      </c>
      <c r="C20" s="156">
        <v>2026</v>
      </c>
      <c r="D20" s="156">
        <v>2027</v>
      </c>
      <c r="E20" s="156">
        <v>2028</v>
      </c>
      <c r="F20" s="156">
        <v>2029</v>
      </c>
    </row>
    <row r="21" spans="1:16" x14ac:dyDescent="0.3">
      <c r="A21" s="95" t="s">
        <v>527</v>
      </c>
      <c r="B21" s="95">
        <f>COUNTIFS($D$30:$D$140,"electric",$E$30:$E$140,"no",$I$30:$I$140,"UES",$K$30:$K$140,"x")+COUNTIFS($D$30:$D$140,"electric",$E$30:$E$140,"no",$I$30:$I$140,"Standard Protocol",$K$30:$K$140,"x")</f>
        <v>7</v>
      </c>
      <c r="C21" s="95">
        <f>COUNTIFS($D$30:$D$140,"electric",$E$30:$E$140,"no",$I$30:$I$140,"UES",$L$30:$L$140,"x")+COUNTIFS($D$30:$D$140,"electric",$E$30:$E$140,"no",$I$30:$I$140,"Standard Protocol",$L$30:$L$140,"x")</f>
        <v>12</v>
      </c>
      <c r="D21" s="95">
        <f>COUNTIFS($D$30:$D$140,"electric",$E$30:$E$140,"no",$I$30:$I$140,"UES",$M$30:$M$140,"x")+COUNTIFS($D$30:$D$140,"electric",$E$30:$E$140,"no",$I$30:$I$140,"Standard Protocol",$M$30:$M$140,"x")</f>
        <v>15</v>
      </c>
      <c r="E21" s="95">
        <f>COUNTIFS($D$30:$D$140,"electric",$E$30:$E$140,"no",$I$30:$I$140,"UES",$N$30:$N$140,"x")+COUNTIFS($D$30:$D$140,"electric",$E$30:$E$140,"no",$I$30:$I$140,"Standard Protocol",$N$30:$N$140,"x")</f>
        <v>6</v>
      </c>
      <c r="F21" s="95">
        <f>COUNTIFS($D$30:$D$140,"electric",$E$30:$E$140,"no",$I$30:$I$140,"UES",$O$30:$O$140,"x")+COUNTIFS($D$30:$D$140,"electric",$E$30:$E$140,"no",$I$30:$I$140,"Standard Protocol",$O$30:$O$140,"x")</f>
        <v>9</v>
      </c>
    </row>
    <row r="22" spans="1:16" x14ac:dyDescent="0.3">
      <c r="A22" s="95" t="s">
        <v>528</v>
      </c>
      <c r="B22" s="95">
        <f>COUNTIFS($D$30:$D$140,"electric",$E$30:$E$140,"yes",$I$30:$I$140,"UES",$K$30:$K$140,"x")+COUNTIFS($D$30:$D$140,"dual",$E$30:$E$140,"yes",$I$30:$I$140,"UES",$K$30:$K$140,"x")+COUNTIFS($D$30:$D$140,"electric",$E$30:$E$140,"yes",$I$30:$I$140,"Standard Protocol",$K$30:$K$140,"x")+COUNTIFS($D$30:$D$140,"dual",$E$30:$E$140,"yes",$I$30:$I$140,"Standard Protocol",$K$30:$K$140,"x")</f>
        <v>8</v>
      </c>
      <c r="C22" s="95">
        <f>COUNTIFS($D$30:$D$140,"electric",$E$30:$E$140,"yes",$I$30:$I$140,"UES",$L$30:$L$140,"x")+COUNTIFS($D$30:$D$140,"dual",$E$30:$E$140,"yes",$I$30:$I$140,"UES",$L$30:$L$140,"x")+COUNTIFS($D$30:$D$140,"electric",$E$30:$E$140,"yes",$I$30:$I$140,"Standard Protocol",$L$30:$L$140,"x")+COUNTIFS($D$30:$D$140,"dual",$E$30:$E$140,"yes",$I$30:$I$140,"Standard Protocol",$L$30:$L$140,"x")</f>
        <v>9</v>
      </c>
      <c r="D22" s="95">
        <f>COUNTIFS($D$30:$D$140,"electric",$E$30:$E$140,"yes",$I$30:$I$140,"UES",$M$30:$M$140,"x")+COUNTIFS($D$30:$D$140,"dual",$E$30:$E$140,"yes",$I$30:$I$140,"UES",$M$30:$M$140,"x")+COUNTIFS($D$30:$D$140,"electric",$E$30:$E$140,"yes",$I$30:$I$140,"Standard Protocol",$M$30:$M$140,"x")+COUNTIFS($D$30:$D$140,"dual",$E$30:$E$140,"yes",$I$30:$I$140,"Standard Protocol",$M$30:$M$140,"x")</f>
        <v>6</v>
      </c>
      <c r="E22" s="95">
        <f>COUNTIFS($D$30:$D$140,"electric",$E$30:$E$140,"yes",$I$30:$I$140,"UES",$N$30:$N$140,"x")+COUNTIFS($D$30:$D$140,"dual",$E$30:$E$140,"yes",$I$30:$I$140,"UES",$N$30:$N$140,"x")+COUNTIFS($D$30:$D$140,"electric",$E$30:$E$140,"yes",$I$30:$I$140,"Standard Protocol",$N$30:$N$140,"x")+COUNTIFS($D$30:$D$140,"dual",$E$30:$E$140,"yes",$I$30:$I$140,"Standard Protocol",$N$30:$N$140,"x")</f>
        <v>5</v>
      </c>
      <c r="F22" s="95">
        <f>COUNTIFS($D$30:$D$140,"electric",$E$30:$E$140,"yes",$I$30:$I$140,"UES",$O$30:$O$140,"x")+COUNTIFS($D$30:$D$140,"dual",$E$30:$E$140,"yes",$I$30:$I$140,"UES",$O$30:$O$140,"x")+COUNTIFS($D$30:$D$140,"electric",$E$30:$E$140,"yes",$I$30:$I$140,"Standard Protocol",$O$30:$O$140,"x")+COUNTIFS($D$30:$D$140,"dual",$E$30:$E$140,"yes",$I$30:$I$140,"Standard Protocol",$O$30:$O$140,"x")</f>
        <v>5</v>
      </c>
    </row>
    <row r="23" spans="1:16" x14ac:dyDescent="0.3">
      <c r="A23" s="95" t="s">
        <v>529</v>
      </c>
      <c r="B23" s="95">
        <f>COUNTIFS($D$30:$D$140,"dual",$E$30:$E$140,"no",$I$30:$I$140,"UES",$K$30:$K$140,"x")+COUNTIFS($D$30:$D$140,"dual",$E$30:$E$140,"no",$I$30:$I$140,"Standard Protocol",$K$30:$K$140,"x")</f>
        <v>7</v>
      </c>
      <c r="C23" s="95">
        <f>COUNTIFS($D$30:$D$140,"dual",$E$30:$E$140,"no",$I$30:$I$140,"UES",$L$30:$L$140,"x")+COUNTIFS($D$30:$D$140,"dual",$E$30:$E$140,"no",$I$30:$I$140,"Standard Protocol",$L$30:$L$140,"x")</f>
        <v>4</v>
      </c>
      <c r="D23" s="95">
        <f>COUNTIFS($D$30:$D$140,"dual",$E$30:$E$140,"no",$I$30:$I$140,"UES",$M$30:$M$140,"x")+COUNTIFS($D$30:$D$140,"dual",$E$30:$E$140,"no",$I$30:$I$140,"Standard Protocol",$M$30:$M$140,"x")</f>
        <v>10</v>
      </c>
      <c r="E23" s="95">
        <f>COUNTIFS($D$30:$D$140,"dual",$E$30:$E$140,"no",$I$30:$I$140,"UES",$N$30:$N$140,"x")+COUNTIFS($D$30:$D$140,"dual",$E$30:$E$140,"no",$I$30:$I$140,"Standard Protocol",$N$30:$N$140,"x")</f>
        <v>5</v>
      </c>
      <c r="F23" s="95">
        <f>COUNTIFS($D$30:$D$140,"dual",$E$30:$E$140,"no",$I$30:$I$140,"UES",$O$30:$O$140,"x")+COUNTIFS($D$30:$D$140,"dual",$E$30:$E$140,"no",$I$30:$I$140,"Standard Protocol",$O$30:$O$140,"x")</f>
        <v>2</v>
      </c>
    </row>
    <row r="24" spans="1:16" x14ac:dyDescent="0.3">
      <c r="A24" s="95" t="s">
        <v>530</v>
      </c>
      <c r="B24" s="95">
        <f>COUNTIFS($D$30:$D$140,"gas",$E$30:$E$140,"no",$I$30:$I$140,"UES",$K$30:$K$140,"x")+COUNTIFS($D$30:$D$140,"gas",$E$30:$E$140,"no",$I$30:$I$140,"Standard Protocol",$K$30:$K$140,"x")</f>
        <v>3</v>
      </c>
      <c r="C24" s="95">
        <f>COUNTIFS($D$30:$D$140,"gas",$E$30:$E$140,"no",$I$30:$I$140,"UES",$L$30:$L$140,"x")+COUNTIFS($D$30:$D$140,"gas",$E$30:$E$140,"no",$I$30:$I$140,"Standard Protocol",$L$30:$L$140,"x")</f>
        <v>1</v>
      </c>
      <c r="D24" s="95">
        <f>COUNTIFS($D$30:$D$140,"gas",$E$30:$E$140,"no",$I$30:$I$140,"UES",$M$30:$M$140,"x")+COUNTIFS($D$30:$D$140,"gas",$E$30:$E$140,"no",$I$30:$I$140,"Standard Protocol",$M$30:$M$140,"x")</f>
        <v>1</v>
      </c>
      <c r="E24" s="95">
        <f>COUNTIFS($D$30:$D$140,"gas",$E$30:$E$140,"no",$I$30:$I$140,"UES",$N$30:$N$140,"x")+COUNTIFS($D$30:$D$140,"gas",$E$30:$E$140,"no",$I$30:$I$140,"Standard Protocol",$N$30:$N$140,"x")</f>
        <v>2</v>
      </c>
      <c r="F24" s="95">
        <f>COUNTIFS($D$30:$D$140,"gas",$E$30:$E$140,"no",$I$30:$I$140,"UES",$O$30:$O$140,"x")+COUNTIFS($D$30:$D$140,"gas",$E$30:$E$140,"no",$I$30:$I$140,"Standard Protocol",$O$30:$O$140,"x")</f>
        <v>1</v>
      </c>
    </row>
    <row r="25" spans="1:16" x14ac:dyDescent="0.3">
      <c r="A25" s="95" t="s">
        <v>146</v>
      </c>
      <c r="B25" s="95">
        <f>COUNTIFS($D$30:$D$140,"dual",$E$30:$E$140,"no",$I$30:$I$140,"guidance document",$K$30:$K$140,"x")</f>
        <v>1</v>
      </c>
      <c r="C25" s="95">
        <f>COUNTIFS($D$30:$D$140,"dual",$E$30:$E$140,"no",$I$30:$I$140,"guidance document",$L$30:$L$140,"x")</f>
        <v>2</v>
      </c>
      <c r="D25" s="95">
        <f>COUNTIFS($D$30:$D$140,"dual",$E$30:$E$140,"no",$I$30:$I$140,"guidance document",$M$30:$M$140,"x")</f>
        <v>0</v>
      </c>
      <c r="E25" s="95">
        <f>COUNTIFS($D$30:$D$140,"dual",$E$30:$E$140,"no",$I$30:$I$140,"guidance document",$N$30:$N$140,"x")</f>
        <v>0</v>
      </c>
      <c r="F25" s="95">
        <f>COUNTIFS($D$30:$D$140,"dual",$E$30:$E$140,"no",$I$30:$I$140,"guidance document",$O$30:$O$140,"x")</f>
        <v>1</v>
      </c>
    </row>
    <row r="26" spans="1:16" x14ac:dyDescent="0.3">
      <c r="A26" s="95" t="s">
        <v>148</v>
      </c>
      <c r="B26" s="95">
        <f>COUNTIFS($D$30:$D$140,"electric",$E$30:$E$140,"yes",$I$30:$I$140,"DR Technology",$K$30:$K$140,"x")</f>
        <v>0</v>
      </c>
      <c r="C26" s="95">
        <f>COUNTIFS($D$30:$D$140,"electric",$E$30:$E$140,"yes",$I$30:$I$140,"DR Technology",$L$30:$L$140,"x")</f>
        <v>1</v>
      </c>
      <c r="D26" s="95">
        <f>COUNTIFS($D$30:$D$140,"electric",$E$30:$E$140,"yes",$I$30:$I$140,"DR Technology",$M$30:$M$140,"x")</f>
        <v>0</v>
      </c>
      <c r="E26" s="95">
        <f>COUNTIFS($D$30:$D$140,"electric",$E$30:$E$140,"yes",$I$30:$I$140,"DR Technology",$N$30:$N$140,"x")</f>
        <v>0</v>
      </c>
      <c r="F26" s="95">
        <f>COUNTIFS($D$30:$D$140,"electric",$E$30:$E$140,"yes",$I$30:$I$140,"DR Technology",$O$30:$O$140,"x")</f>
        <v>0</v>
      </c>
    </row>
    <row r="28" spans="1:16" x14ac:dyDescent="0.3">
      <c r="A28" s="95" t="s">
        <v>152</v>
      </c>
      <c r="B28" s="95">
        <f>SUM(B12:B18,B21:B26)</f>
        <v>31</v>
      </c>
      <c r="C28" s="95">
        <f>SUM(C12:C18,C21:C26)</f>
        <v>36</v>
      </c>
      <c r="D28" s="95">
        <f>SUM(D12:D18,D21:D26)</f>
        <v>34</v>
      </c>
      <c r="E28" s="95">
        <f>SUM(E12:E18,E21:E26)</f>
        <v>28</v>
      </c>
      <c r="F28" s="95">
        <f>SUM(F12:F18,F21:F26)</f>
        <v>29</v>
      </c>
    </row>
    <row r="29" spans="1:16" x14ac:dyDescent="0.3">
      <c r="L29" s="199" t="s">
        <v>436</v>
      </c>
      <c r="M29" s="199"/>
      <c r="N29" s="199"/>
      <c r="O29" s="199"/>
      <c r="P29" s="199"/>
    </row>
    <row r="30" spans="1:16" s="158" customFormat="1" ht="46.8" x14ac:dyDescent="0.3">
      <c r="A30" s="156" t="s">
        <v>153</v>
      </c>
      <c r="B30" s="156" t="s">
        <v>154</v>
      </c>
      <c r="C30" s="156" t="s">
        <v>155</v>
      </c>
      <c r="D30" s="156" t="s">
        <v>156</v>
      </c>
      <c r="E30" s="156" t="s">
        <v>157</v>
      </c>
      <c r="F30" s="156" t="s">
        <v>3</v>
      </c>
      <c r="G30" s="156" t="s">
        <v>158</v>
      </c>
      <c r="H30" s="156" t="s">
        <v>159</v>
      </c>
      <c r="I30" s="156" t="s">
        <v>160</v>
      </c>
      <c r="J30" s="201" t="s">
        <v>439</v>
      </c>
      <c r="K30" s="157">
        <v>2025</v>
      </c>
      <c r="L30" s="198">
        <v>2026</v>
      </c>
      <c r="M30" s="198">
        <v>2027</v>
      </c>
      <c r="N30" s="198">
        <v>2028</v>
      </c>
      <c r="O30" s="198">
        <v>2029</v>
      </c>
      <c r="P30" s="200" t="s">
        <v>2</v>
      </c>
    </row>
    <row r="31" spans="1:16" s="158" customFormat="1" ht="15.6" x14ac:dyDescent="0.3">
      <c r="A31" s="159" t="s">
        <v>310</v>
      </c>
      <c r="B31" s="160" t="s">
        <v>173</v>
      </c>
      <c r="C31" s="160" t="s">
        <v>196</v>
      </c>
      <c r="D31" s="160" t="s">
        <v>175</v>
      </c>
      <c r="E31" s="160" t="s">
        <v>165</v>
      </c>
      <c r="F31" s="160" t="s">
        <v>183</v>
      </c>
      <c r="G31" s="160" t="s">
        <v>167</v>
      </c>
      <c r="H31" s="167" t="s">
        <v>311</v>
      </c>
      <c r="I31" s="160" t="s">
        <v>169</v>
      </c>
      <c r="J31" s="387">
        <v>46326</v>
      </c>
      <c r="K31" s="163"/>
      <c r="L31" s="163" t="s">
        <v>170</v>
      </c>
      <c r="M31" s="163"/>
      <c r="N31" s="163"/>
      <c r="O31" s="163" t="s">
        <v>170</v>
      </c>
      <c r="P31" s="158" t="s">
        <v>229</v>
      </c>
    </row>
    <row r="32" spans="1:16" s="158" customFormat="1" ht="15.6" x14ac:dyDescent="0.3">
      <c r="A32" s="159" t="s">
        <v>267</v>
      </c>
      <c r="B32" s="160" t="s">
        <v>173</v>
      </c>
      <c r="C32" s="160" t="s">
        <v>190</v>
      </c>
      <c r="D32" s="160" t="s">
        <v>164</v>
      </c>
      <c r="E32" s="160" t="s">
        <v>165</v>
      </c>
      <c r="F32" s="160" t="s">
        <v>176</v>
      </c>
      <c r="G32" s="160" t="s">
        <v>167</v>
      </c>
      <c r="H32" s="161" t="s">
        <v>268</v>
      </c>
      <c r="I32" s="160" t="s">
        <v>169</v>
      </c>
      <c r="J32" s="162">
        <v>47664</v>
      </c>
      <c r="K32" s="163" t="s">
        <v>170</v>
      </c>
      <c r="L32" s="163"/>
      <c r="M32" s="163"/>
      <c r="N32" s="163"/>
      <c r="O32" s="163"/>
      <c r="P32" s="158" t="s">
        <v>171</v>
      </c>
    </row>
    <row r="33" spans="1:16" s="158" customFormat="1" ht="15.6" x14ac:dyDescent="0.3">
      <c r="A33" s="158" t="s">
        <v>538</v>
      </c>
      <c r="B33" s="160"/>
      <c r="C33" s="160"/>
      <c r="D33" s="158" t="s">
        <v>164</v>
      </c>
      <c r="E33" s="160" t="s">
        <v>206</v>
      </c>
      <c r="F33" s="160"/>
      <c r="G33" s="160" t="s">
        <v>437</v>
      </c>
      <c r="H33" s="165"/>
      <c r="I33" s="158" t="s">
        <v>559</v>
      </c>
      <c r="J33" s="380"/>
      <c r="K33" s="163" t="s">
        <v>170</v>
      </c>
      <c r="L33" s="163"/>
      <c r="M33" s="163"/>
      <c r="N33" s="163"/>
      <c r="O33" s="163" t="s">
        <v>170</v>
      </c>
      <c r="P33" s="158" t="s">
        <v>552</v>
      </c>
    </row>
    <row r="34" spans="1:16" s="158" customFormat="1" ht="15.6" x14ac:dyDescent="0.3">
      <c r="A34" s="158" t="s">
        <v>537</v>
      </c>
      <c r="B34" s="160"/>
      <c r="C34" s="160"/>
      <c r="D34" s="158" t="s">
        <v>164</v>
      </c>
      <c r="E34" s="160" t="s">
        <v>206</v>
      </c>
      <c r="F34" s="160"/>
      <c r="G34" s="160" t="s">
        <v>437</v>
      </c>
      <c r="H34" s="165"/>
      <c r="I34" s="158" t="s">
        <v>559</v>
      </c>
      <c r="J34" s="380"/>
      <c r="K34" s="163" t="s">
        <v>170</v>
      </c>
      <c r="L34" s="163"/>
      <c r="M34" s="163"/>
      <c r="N34" s="163" t="s">
        <v>170</v>
      </c>
      <c r="O34" s="163"/>
      <c r="P34" s="158" t="s">
        <v>551</v>
      </c>
    </row>
    <row r="35" spans="1:16" s="158" customFormat="1" ht="15.6" x14ac:dyDescent="0.3">
      <c r="A35" s="275" t="s">
        <v>487</v>
      </c>
      <c r="B35" s="160" t="s">
        <v>162</v>
      </c>
      <c r="C35" s="160" t="s">
        <v>196</v>
      </c>
      <c r="D35" s="160" t="s">
        <v>164</v>
      </c>
      <c r="E35" s="160" t="s">
        <v>206</v>
      </c>
      <c r="F35" s="160" t="s">
        <v>208</v>
      </c>
      <c r="G35" s="160" t="s">
        <v>209</v>
      </c>
      <c r="H35" s="165" t="s">
        <v>210</v>
      </c>
      <c r="I35" s="160" t="s">
        <v>169</v>
      </c>
      <c r="J35" s="202">
        <v>46022</v>
      </c>
      <c r="K35" s="163" t="s">
        <v>170</v>
      </c>
      <c r="L35" s="163"/>
      <c r="M35" s="163" t="s">
        <v>170</v>
      </c>
      <c r="N35" s="163"/>
      <c r="O35" s="163"/>
      <c r="P35" s="158" t="s">
        <v>171</v>
      </c>
    </row>
    <row r="36" spans="1:16" s="158" customFormat="1" ht="15.6" x14ac:dyDescent="0.3">
      <c r="A36" s="158" t="s">
        <v>346</v>
      </c>
      <c r="D36" s="158" t="s">
        <v>164</v>
      </c>
      <c r="E36" s="158" t="s">
        <v>165</v>
      </c>
      <c r="G36" s="160" t="s">
        <v>437</v>
      </c>
      <c r="I36" s="158" t="s">
        <v>559</v>
      </c>
      <c r="J36" s="381"/>
      <c r="K36" s="163"/>
      <c r="L36" s="163"/>
      <c r="M36" s="163"/>
      <c r="N36" s="163"/>
      <c r="O36" s="163"/>
      <c r="P36" s="158" t="s">
        <v>553</v>
      </c>
    </row>
    <row r="37" spans="1:16" s="158" customFormat="1" ht="15.6" x14ac:dyDescent="0.3">
      <c r="A37" s="159" t="s">
        <v>314</v>
      </c>
      <c r="B37" s="160" t="s">
        <v>297</v>
      </c>
      <c r="C37" s="160" t="s">
        <v>291</v>
      </c>
      <c r="D37" s="160" t="s">
        <v>175</v>
      </c>
      <c r="E37" s="160" t="s">
        <v>165</v>
      </c>
      <c r="F37" s="160" t="s">
        <v>183</v>
      </c>
      <c r="G37" s="160" t="s">
        <v>167</v>
      </c>
      <c r="H37" s="165" t="s">
        <v>210</v>
      </c>
      <c r="I37" s="160" t="s">
        <v>169</v>
      </c>
      <c r="J37" s="387">
        <v>46387</v>
      </c>
      <c r="K37" s="163"/>
      <c r="L37" s="163" t="s">
        <v>170</v>
      </c>
      <c r="M37" s="163"/>
      <c r="N37" s="163"/>
      <c r="O37" s="163" t="s">
        <v>170</v>
      </c>
      <c r="P37" s="158" t="s">
        <v>229</v>
      </c>
    </row>
    <row r="38" spans="1:16" s="158" customFormat="1" ht="15.6" x14ac:dyDescent="0.3">
      <c r="A38" s="159" t="s">
        <v>182</v>
      </c>
      <c r="B38" s="160" t="s">
        <v>173</v>
      </c>
      <c r="C38" s="160" t="s">
        <v>174</v>
      </c>
      <c r="D38" s="160" t="s">
        <v>175</v>
      </c>
      <c r="E38" s="160" t="s">
        <v>165</v>
      </c>
      <c r="F38" s="160" t="s">
        <v>183</v>
      </c>
      <c r="G38" s="160" t="s">
        <v>167</v>
      </c>
      <c r="H38" s="161" t="s">
        <v>184</v>
      </c>
      <c r="I38" s="160" t="s">
        <v>169</v>
      </c>
      <c r="J38" s="202">
        <v>46904</v>
      </c>
      <c r="K38" s="163"/>
      <c r="L38" s="163"/>
      <c r="M38" s="163" t="s">
        <v>170</v>
      </c>
      <c r="N38" s="163"/>
      <c r="O38" s="163"/>
      <c r="P38" s="158" t="s">
        <v>171</v>
      </c>
    </row>
    <row r="39" spans="1:16" s="158" customFormat="1" ht="15.6" x14ac:dyDescent="0.3">
      <c r="A39" s="159" t="s">
        <v>254</v>
      </c>
      <c r="B39" s="160" t="s">
        <v>255</v>
      </c>
      <c r="C39" s="160" t="s">
        <v>256</v>
      </c>
      <c r="D39" s="160" t="s">
        <v>164</v>
      </c>
      <c r="E39" s="160" t="s">
        <v>165</v>
      </c>
      <c r="F39" s="160" t="s">
        <v>183</v>
      </c>
      <c r="G39" s="160" t="s">
        <v>167</v>
      </c>
      <c r="H39" s="161" t="s">
        <v>212</v>
      </c>
      <c r="I39" s="160" t="s">
        <v>169</v>
      </c>
      <c r="J39" s="162">
        <v>46507</v>
      </c>
      <c r="K39" s="163" t="s">
        <v>170</v>
      </c>
      <c r="L39" s="163"/>
      <c r="M39" s="163" t="s">
        <v>170</v>
      </c>
      <c r="N39" s="163"/>
      <c r="O39" s="163"/>
      <c r="P39" s="158" t="s">
        <v>257</v>
      </c>
    </row>
    <row r="40" spans="1:16" s="158" customFormat="1" ht="15.6" x14ac:dyDescent="0.3">
      <c r="A40" s="159" t="s">
        <v>280</v>
      </c>
      <c r="B40" s="160" t="s">
        <v>173</v>
      </c>
      <c r="C40" s="160" t="s">
        <v>196</v>
      </c>
      <c r="D40" s="160" t="s">
        <v>181</v>
      </c>
      <c r="E40" s="160" t="s">
        <v>165</v>
      </c>
      <c r="F40" s="160"/>
      <c r="G40" s="160" t="s">
        <v>167</v>
      </c>
      <c r="H40" s="161" t="s">
        <v>281</v>
      </c>
      <c r="I40" s="160" t="s">
        <v>216</v>
      </c>
      <c r="J40" s="162">
        <v>45991</v>
      </c>
      <c r="K40" s="163" t="s">
        <v>170</v>
      </c>
      <c r="L40" s="163"/>
      <c r="M40" s="163"/>
      <c r="N40" s="163"/>
      <c r="O40" s="163"/>
      <c r="P40" s="158" t="s">
        <v>171</v>
      </c>
    </row>
    <row r="41" spans="1:16" s="158" customFormat="1" ht="15.6" x14ac:dyDescent="0.3">
      <c r="A41" s="159" t="s">
        <v>278</v>
      </c>
      <c r="B41" s="160" t="s">
        <v>173</v>
      </c>
      <c r="C41" s="160" t="s">
        <v>196</v>
      </c>
      <c r="D41" s="160" t="s">
        <v>181</v>
      </c>
      <c r="E41" s="160" t="s">
        <v>165</v>
      </c>
      <c r="F41" s="160" t="s">
        <v>176</v>
      </c>
      <c r="G41" s="160" t="s">
        <v>167</v>
      </c>
      <c r="H41" s="161" t="s">
        <v>279</v>
      </c>
      <c r="I41" s="160" t="s">
        <v>169</v>
      </c>
      <c r="J41" s="162">
        <v>45991</v>
      </c>
      <c r="K41" s="163" t="s">
        <v>170</v>
      </c>
      <c r="L41" s="163"/>
      <c r="M41" s="163"/>
      <c r="N41" s="163"/>
      <c r="O41" s="163" t="s">
        <v>170</v>
      </c>
      <c r="P41" s="158" t="s">
        <v>229</v>
      </c>
    </row>
    <row r="42" spans="1:16" s="158" customFormat="1" ht="15.6" x14ac:dyDescent="0.3">
      <c r="A42" s="159" t="s">
        <v>284</v>
      </c>
      <c r="B42" s="160" t="s">
        <v>173</v>
      </c>
      <c r="C42" s="160" t="s">
        <v>163</v>
      </c>
      <c r="D42" s="160" t="s">
        <v>175</v>
      </c>
      <c r="E42" s="160" t="s">
        <v>165</v>
      </c>
      <c r="F42" s="160" t="s">
        <v>176</v>
      </c>
      <c r="G42" s="160" t="s">
        <v>167</v>
      </c>
      <c r="H42" s="161" t="s">
        <v>279</v>
      </c>
      <c r="I42" s="160" t="s">
        <v>169</v>
      </c>
      <c r="J42" s="387">
        <v>46081</v>
      </c>
      <c r="K42" s="163"/>
      <c r="L42" s="163" t="s">
        <v>170</v>
      </c>
      <c r="M42" s="163"/>
      <c r="N42" s="163"/>
      <c r="O42" s="163"/>
      <c r="P42" s="158" t="s">
        <v>171</v>
      </c>
    </row>
    <row r="43" spans="1:16" s="158" customFormat="1" ht="15.6" x14ac:dyDescent="0.3">
      <c r="A43" s="159" t="s">
        <v>259</v>
      </c>
      <c r="B43" s="160" t="s">
        <v>173</v>
      </c>
      <c r="C43" s="160" t="s">
        <v>196</v>
      </c>
      <c r="D43" s="160" t="s">
        <v>175</v>
      </c>
      <c r="E43" s="160" t="s">
        <v>206</v>
      </c>
      <c r="F43" s="160" t="s">
        <v>183</v>
      </c>
      <c r="G43" s="160" t="s">
        <v>167</v>
      </c>
      <c r="H43" s="161" t="s">
        <v>260</v>
      </c>
      <c r="I43" s="160" t="s">
        <v>169</v>
      </c>
      <c r="J43" s="387">
        <v>46356</v>
      </c>
      <c r="K43" s="163" t="s">
        <v>170</v>
      </c>
      <c r="L43" s="163" t="s">
        <v>170</v>
      </c>
      <c r="M43" s="163"/>
      <c r="N43" s="163" t="s">
        <v>170</v>
      </c>
      <c r="O43" s="163"/>
      <c r="P43" s="158" t="s">
        <v>229</v>
      </c>
    </row>
    <row r="44" spans="1:16" s="158" customFormat="1" ht="15.6" x14ac:dyDescent="0.3">
      <c r="A44" s="158" t="s">
        <v>533</v>
      </c>
      <c r="B44" s="160"/>
      <c r="C44" s="160"/>
      <c r="D44" s="160" t="s">
        <v>175</v>
      </c>
      <c r="E44" s="160" t="s">
        <v>165</v>
      </c>
      <c r="F44" s="160"/>
      <c r="G44" s="160" t="s">
        <v>437</v>
      </c>
      <c r="H44" s="161"/>
      <c r="I44" s="158" t="s">
        <v>559</v>
      </c>
      <c r="J44" s="380"/>
      <c r="K44" s="163" t="s">
        <v>170</v>
      </c>
      <c r="L44" s="163"/>
      <c r="M44" s="163"/>
      <c r="N44" s="163" t="s">
        <v>170</v>
      </c>
      <c r="O44" s="163"/>
      <c r="P44" s="158" t="s">
        <v>551</v>
      </c>
    </row>
    <row r="45" spans="1:16" s="158" customFormat="1" ht="15.6" x14ac:dyDescent="0.3">
      <c r="A45" s="158" t="s">
        <v>347</v>
      </c>
      <c r="D45" s="160" t="s">
        <v>175</v>
      </c>
      <c r="E45" s="158" t="s">
        <v>165</v>
      </c>
      <c r="G45" s="160" t="s">
        <v>437</v>
      </c>
      <c r="I45" s="158" t="s">
        <v>559</v>
      </c>
      <c r="J45" s="381"/>
      <c r="K45" s="163"/>
      <c r="L45" s="163"/>
      <c r="M45" s="163" t="s">
        <v>170</v>
      </c>
      <c r="N45" s="163"/>
      <c r="O45" s="163"/>
      <c r="P45" s="158" t="s">
        <v>553</v>
      </c>
    </row>
    <row r="46" spans="1:16" s="158" customFormat="1" ht="15.6" x14ac:dyDescent="0.3">
      <c r="A46" s="158" t="s">
        <v>348</v>
      </c>
      <c r="D46" s="158" t="s">
        <v>181</v>
      </c>
      <c r="E46" s="158" t="s">
        <v>165</v>
      </c>
      <c r="G46" s="160" t="s">
        <v>437</v>
      </c>
      <c r="I46" s="158" t="s">
        <v>559</v>
      </c>
      <c r="J46" s="381"/>
      <c r="K46" s="163"/>
      <c r="L46" s="163" t="s">
        <v>170</v>
      </c>
      <c r="M46" s="163"/>
      <c r="N46" s="163"/>
      <c r="O46" s="163" t="s">
        <v>170</v>
      </c>
      <c r="P46" s="158" t="s">
        <v>552</v>
      </c>
    </row>
    <row r="47" spans="1:16" s="158" customFormat="1" ht="15.6" x14ac:dyDescent="0.3">
      <c r="A47" s="158" t="s">
        <v>546</v>
      </c>
      <c r="D47" s="158" t="s">
        <v>181</v>
      </c>
      <c r="E47" s="158" t="s">
        <v>165</v>
      </c>
      <c r="G47" s="160" t="s">
        <v>437</v>
      </c>
      <c r="I47" s="158" t="s">
        <v>559</v>
      </c>
      <c r="J47" s="381"/>
      <c r="K47" s="163"/>
      <c r="L47" s="163"/>
      <c r="M47" s="163"/>
      <c r="N47" s="163" t="s">
        <v>170</v>
      </c>
      <c r="O47" s="163"/>
      <c r="P47" s="158" t="s">
        <v>556</v>
      </c>
    </row>
    <row r="48" spans="1:16" s="158" customFormat="1" ht="15.6" x14ac:dyDescent="0.3">
      <c r="A48" s="158" t="s">
        <v>536</v>
      </c>
      <c r="B48" s="160"/>
      <c r="C48" s="160"/>
      <c r="D48" s="160" t="s">
        <v>164</v>
      </c>
      <c r="E48" s="160" t="s">
        <v>165</v>
      </c>
      <c r="F48" s="160"/>
      <c r="G48" s="160" t="s">
        <v>437</v>
      </c>
      <c r="H48" s="160"/>
      <c r="I48" s="158" t="s">
        <v>559</v>
      </c>
      <c r="J48" s="379"/>
      <c r="K48" s="163"/>
      <c r="L48" s="163" t="s">
        <v>170</v>
      </c>
      <c r="M48" s="163"/>
      <c r="N48" s="163"/>
      <c r="O48" s="163" t="s">
        <v>170</v>
      </c>
      <c r="P48" s="158" t="s">
        <v>550</v>
      </c>
    </row>
    <row r="49" spans="1:16" s="158" customFormat="1" ht="15.6" x14ac:dyDescent="0.3">
      <c r="A49" s="158" t="s">
        <v>549</v>
      </c>
      <c r="D49" s="158" t="s">
        <v>181</v>
      </c>
      <c r="E49" s="158" t="s">
        <v>165</v>
      </c>
      <c r="G49" s="160" t="s">
        <v>437</v>
      </c>
      <c r="I49" s="158" t="s">
        <v>559</v>
      </c>
      <c r="J49" s="381"/>
      <c r="K49" s="163"/>
      <c r="L49" s="163"/>
      <c r="M49" s="163"/>
      <c r="N49" s="163"/>
      <c r="O49" s="163"/>
      <c r="P49" s="158" t="s">
        <v>553</v>
      </c>
    </row>
    <row r="50" spans="1:16" s="158" customFormat="1" ht="15.6" x14ac:dyDescent="0.3">
      <c r="A50" s="159" t="s">
        <v>258</v>
      </c>
      <c r="B50" s="160" t="s">
        <v>173</v>
      </c>
      <c r="C50" s="160" t="s">
        <v>239</v>
      </c>
      <c r="D50" s="160" t="s">
        <v>175</v>
      </c>
      <c r="E50" s="160" t="s">
        <v>165</v>
      </c>
      <c r="F50" s="160" t="s">
        <v>183</v>
      </c>
      <c r="G50" s="160" t="s">
        <v>167</v>
      </c>
      <c r="H50" s="161" t="s">
        <v>215</v>
      </c>
      <c r="I50" s="160" t="s">
        <v>169</v>
      </c>
      <c r="J50" s="162">
        <v>47026</v>
      </c>
      <c r="K50" s="163" t="s">
        <v>170</v>
      </c>
      <c r="L50" s="163"/>
      <c r="M50" s="163"/>
      <c r="N50" s="163" t="s">
        <v>170</v>
      </c>
      <c r="O50" s="163"/>
      <c r="P50" s="158" t="s">
        <v>257</v>
      </c>
    </row>
    <row r="51" spans="1:16" s="158" customFormat="1" ht="15.6" x14ac:dyDescent="0.3">
      <c r="A51" s="159" t="s">
        <v>220</v>
      </c>
      <c r="B51" s="160" t="s">
        <v>173</v>
      </c>
      <c r="C51" s="160" t="s">
        <v>221</v>
      </c>
      <c r="D51" s="160" t="s">
        <v>164</v>
      </c>
      <c r="E51" s="160" t="s">
        <v>165</v>
      </c>
      <c r="F51" s="160" t="s">
        <v>183</v>
      </c>
      <c r="G51" s="160" t="s">
        <v>167</v>
      </c>
      <c r="H51" s="161" t="s">
        <v>222</v>
      </c>
      <c r="I51" s="160" t="s">
        <v>169</v>
      </c>
      <c r="J51" s="202">
        <v>46690</v>
      </c>
      <c r="K51" s="163"/>
      <c r="L51" s="163"/>
      <c r="M51" s="163" t="s">
        <v>170</v>
      </c>
      <c r="N51" s="163"/>
      <c r="O51" s="163"/>
      <c r="P51" s="158" t="s">
        <v>171</v>
      </c>
    </row>
    <row r="52" spans="1:16" s="158" customFormat="1" ht="15.6" x14ac:dyDescent="0.3">
      <c r="A52" s="158" t="s">
        <v>548</v>
      </c>
      <c r="D52" s="158" t="s">
        <v>181</v>
      </c>
      <c r="E52" s="158" t="s">
        <v>165</v>
      </c>
      <c r="G52" s="160" t="s">
        <v>437</v>
      </c>
      <c r="I52" s="158" t="s">
        <v>559</v>
      </c>
      <c r="J52" s="381"/>
      <c r="K52" s="163"/>
      <c r="L52" s="163"/>
      <c r="M52" s="163"/>
      <c r="N52" s="163"/>
      <c r="O52" s="163"/>
      <c r="P52" s="158" t="s">
        <v>553</v>
      </c>
    </row>
    <row r="53" spans="1:16" s="158" customFormat="1" ht="15.6" x14ac:dyDescent="0.3">
      <c r="A53" s="159" t="s">
        <v>319</v>
      </c>
      <c r="B53" s="160" t="s">
        <v>198</v>
      </c>
      <c r="C53" s="160" t="s">
        <v>320</v>
      </c>
      <c r="D53" s="160" t="s">
        <v>164</v>
      </c>
      <c r="E53" s="160" t="s">
        <v>165</v>
      </c>
      <c r="F53" s="160"/>
      <c r="G53" s="160" t="s">
        <v>167</v>
      </c>
      <c r="H53" s="161" t="s">
        <v>321</v>
      </c>
      <c r="I53" s="160" t="s">
        <v>216</v>
      </c>
      <c r="J53" s="162">
        <v>46538</v>
      </c>
      <c r="K53" s="163"/>
      <c r="L53" s="163"/>
      <c r="M53" s="163" t="s">
        <v>170</v>
      </c>
      <c r="N53" s="163"/>
      <c r="O53" s="163"/>
      <c r="P53" s="158" t="s">
        <v>171</v>
      </c>
    </row>
    <row r="54" spans="1:16" s="158" customFormat="1" ht="15.6" x14ac:dyDescent="0.3">
      <c r="A54" s="159" t="s">
        <v>286</v>
      </c>
      <c r="B54" s="160" t="s">
        <v>173</v>
      </c>
      <c r="C54" s="160" t="s">
        <v>190</v>
      </c>
      <c r="D54" s="160" t="s">
        <v>164</v>
      </c>
      <c r="E54" s="160" t="s">
        <v>165</v>
      </c>
      <c r="F54" s="160" t="s">
        <v>176</v>
      </c>
      <c r="G54" s="160" t="s">
        <v>167</v>
      </c>
      <c r="H54" s="161" t="s">
        <v>287</v>
      </c>
      <c r="I54" s="160" t="s">
        <v>169</v>
      </c>
      <c r="J54" s="387">
        <v>46142</v>
      </c>
      <c r="K54" s="163"/>
      <c r="L54" s="163" t="s">
        <v>170</v>
      </c>
      <c r="M54" s="163"/>
      <c r="N54" s="163"/>
      <c r="O54" s="163"/>
      <c r="P54" s="158" t="s">
        <v>171</v>
      </c>
    </row>
    <row r="55" spans="1:16" s="158" customFormat="1" ht="15.6" x14ac:dyDescent="0.3">
      <c r="A55" s="158" t="s">
        <v>252</v>
      </c>
      <c r="B55" s="160"/>
      <c r="C55" s="160"/>
      <c r="D55" s="158" t="s">
        <v>164</v>
      </c>
      <c r="E55" s="160" t="s">
        <v>206</v>
      </c>
      <c r="F55" s="160"/>
      <c r="G55" s="160" t="s">
        <v>437</v>
      </c>
      <c r="H55" s="165"/>
      <c r="I55" s="160" t="s">
        <v>558</v>
      </c>
      <c r="J55" s="380"/>
      <c r="K55" s="163"/>
      <c r="L55" s="163" t="s">
        <v>170</v>
      </c>
      <c r="M55" s="163"/>
      <c r="N55" s="163"/>
      <c r="O55" s="163" t="s">
        <v>170</v>
      </c>
      <c r="P55" s="158" t="s">
        <v>550</v>
      </c>
    </row>
    <row r="56" spans="1:16" s="158" customFormat="1" ht="15.6" x14ac:dyDescent="0.3">
      <c r="A56" s="159" t="s">
        <v>252</v>
      </c>
      <c r="B56" s="160" t="s">
        <v>162</v>
      </c>
      <c r="C56" s="160" t="s">
        <v>196</v>
      </c>
      <c r="D56" s="160" t="s">
        <v>175</v>
      </c>
      <c r="E56" s="160" t="s">
        <v>206</v>
      </c>
      <c r="F56" s="160" t="s">
        <v>208</v>
      </c>
      <c r="G56" s="160" t="s">
        <v>167</v>
      </c>
      <c r="H56" s="161" t="s">
        <v>253</v>
      </c>
      <c r="I56" s="160" t="s">
        <v>169</v>
      </c>
      <c r="J56" s="162">
        <v>46295</v>
      </c>
      <c r="K56" s="163" t="s">
        <v>170</v>
      </c>
      <c r="L56" s="163" t="s">
        <v>170</v>
      </c>
      <c r="M56" s="163"/>
      <c r="N56" s="163" t="s">
        <v>170</v>
      </c>
      <c r="O56" s="163"/>
      <c r="P56" s="158" t="s">
        <v>229</v>
      </c>
    </row>
    <row r="57" spans="1:16" s="158" customFormat="1" ht="15.6" x14ac:dyDescent="0.3">
      <c r="A57" s="433" t="s">
        <v>636</v>
      </c>
      <c r="B57" s="434" t="s">
        <v>173</v>
      </c>
      <c r="C57" s="434" t="s">
        <v>228</v>
      </c>
      <c r="D57" s="434" t="s">
        <v>164</v>
      </c>
      <c r="E57" s="158" t="s">
        <v>165</v>
      </c>
      <c r="F57" s="434" t="s">
        <v>183</v>
      </c>
      <c r="G57" s="434" t="s">
        <v>209</v>
      </c>
      <c r="H57" s="435">
        <v>45860</v>
      </c>
      <c r="I57" s="158" t="s">
        <v>169</v>
      </c>
      <c r="J57" s="435">
        <v>46053</v>
      </c>
      <c r="K57" s="163"/>
      <c r="L57" s="163"/>
      <c r="M57" s="163"/>
      <c r="N57" s="163"/>
      <c r="O57" s="163"/>
    </row>
    <row r="58" spans="1:16" s="158" customFormat="1" ht="15.6" x14ac:dyDescent="0.3">
      <c r="A58" s="159" t="s">
        <v>178</v>
      </c>
      <c r="B58" s="160" t="s">
        <v>173</v>
      </c>
      <c r="C58" s="160" t="s">
        <v>174</v>
      </c>
      <c r="D58" s="160" t="s">
        <v>175</v>
      </c>
      <c r="E58" s="160" t="s">
        <v>165</v>
      </c>
      <c r="F58" s="160" t="s">
        <v>176</v>
      </c>
      <c r="G58" s="160" t="s">
        <v>167</v>
      </c>
      <c r="H58" s="161" t="s">
        <v>179</v>
      </c>
      <c r="I58" s="160" t="s">
        <v>169</v>
      </c>
      <c r="J58" s="202">
        <v>46904</v>
      </c>
      <c r="K58" s="163"/>
      <c r="L58" s="163"/>
      <c r="M58" s="163" t="s">
        <v>170</v>
      </c>
      <c r="N58" s="163"/>
      <c r="O58" s="163"/>
      <c r="P58" s="158" t="s">
        <v>171</v>
      </c>
    </row>
    <row r="59" spans="1:16" s="158" customFormat="1" ht="15.6" x14ac:dyDescent="0.3">
      <c r="A59" s="159" t="s">
        <v>326</v>
      </c>
      <c r="B59" s="160" t="s">
        <v>173</v>
      </c>
      <c r="C59" s="160" t="s">
        <v>256</v>
      </c>
      <c r="D59" s="160" t="s">
        <v>175</v>
      </c>
      <c r="E59" s="160" t="s">
        <v>165</v>
      </c>
      <c r="F59" s="160"/>
      <c r="G59" s="160" t="s">
        <v>167</v>
      </c>
      <c r="H59" s="161" t="s">
        <v>327</v>
      </c>
      <c r="I59" s="160" t="s">
        <v>216</v>
      </c>
      <c r="J59" s="162">
        <v>46599</v>
      </c>
      <c r="K59" s="163"/>
      <c r="L59" s="163"/>
      <c r="M59" s="163" t="s">
        <v>170</v>
      </c>
      <c r="N59" s="163"/>
      <c r="O59" s="163"/>
      <c r="P59" s="158" t="s">
        <v>171</v>
      </c>
    </row>
    <row r="60" spans="1:16" s="158" customFormat="1" ht="15.6" x14ac:dyDescent="0.3">
      <c r="A60" s="158" t="s">
        <v>540</v>
      </c>
      <c r="D60" s="158" t="s">
        <v>164</v>
      </c>
      <c r="E60" s="158" t="s">
        <v>165</v>
      </c>
      <c r="G60" s="160" t="s">
        <v>437</v>
      </c>
      <c r="I60" s="158" t="s">
        <v>559</v>
      </c>
      <c r="J60" s="381"/>
      <c r="K60" s="163"/>
      <c r="L60" s="163"/>
      <c r="M60" s="163"/>
      <c r="N60" s="163"/>
      <c r="O60" s="163" t="s">
        <v>170</v>
      </c>
      <c r="P60" s="158" t="s">
        <v>554</v>
      </c>
    </row>
    <row r="61" spans="1:16" s="158" customFormat="1" ht="15.6" x14ac:dyDescent="0.3">
      <c r="A61" s="159" t="s">
        <v>288</v>
      </c>
      <c r="B61" s="160" t="s">
        <v>173</v>
      </c>
      <c r="C61" s="160" t="s">
        <v>190</v>
      </c>
      <c r="D61" s="160" t="s">
        <v>164</v>
      </c>
      <c r="E61" s="160" t="s">
        <v>165</v>
      </c>
      <c r="F61" s="160" t="s">
        <v>176</v>
      </c>
      <c r="G61" s="160" t="s">
        <v>167</v>
      </c>
      <c r="H61" s="161" t="s">
        <v>287</v>
      </c>
      <c r="I61" s="160" t="s">
        <v>169</v>
      </c>
      <c r="J61" s="387">
        <v>46142</v>
      </c>
      <c r="K61" s="163"/>
      <c r="L61" s="163" t="s">
        <v>170</v>
      </c>
      <c r="M61" s="163"/>
      <c r="N61" s="163"/>
      <c r="O61" s="163"/>
      <c r="P61" s="158" t="s">
        <v>171</v>
      </c>
    </row>
    <row r="62" spans="1:16" s="158" customFormat="1" ht="15.6" x14ac:dyDescent="0.3">
      <c r="A62" s="159" t="s">
        <v>340</v>
      </c>
      <c r="B62" s="160" t="s">
        <v>173</v>
      </c>
      <c r="C62" s="160" t="s">
        <v>190</v>
      </c>
      <c r="D62" s="160" t="s">
        <v>164</v>
      </c>
      <c r="E62" s="160" t="s">
        <v>165</v>
      </c>
      <c r="F62" s="160" t="s">
        <v>341</v>
      </c>
      <c r="G62" s="160" t="s">
        <v>167</v>
      </c>
      <c r="H62" s="161" t="s">
        <v>227</v>
      </c>
      <c r="I62" s="160" t="s">
        <v>169</v>
      </c>
      <c r="J62" s="162">
        <v>46904</v>
      </c>
      <c r="K62" s="163"/>
      <c r="L62" s="163"/>
      <c r="M62" s="163"/>
      <c r="N62" s="163" t="s">
        <v>170</v>
      </c>
      <c r="O62" s="163"/>
      <c r="P62" s="158" t="s">
        <v>171</v>
      </c>
    </row>
    <row r="63" spans="1:16" s="158" customFormat="1" ht="15.6" x14ac:dyDescent="0.3">
      <c r="A63" s="158" t="s">
        <v>541</v>
      </c>
      <c r="D63" s="158" t="s">
        <v>164</v>
      </c>
      <c r="E63" s="158" t="s">
        <v>165</v>
      </c>
      <c r="G63" s="160" t="s">
        <v>437</v>
      </c>
      <c r="I63" s="158" t="s">
        <v>559</v>
      </c>
      <c r="J63" s="381"/>
      <c r="K63" s="163"/>
      <c r="L63" s="163"/>
      <c r="M63" s="163"/>
      <c r="N63" s="163"/>
      <c r="O63" s="163" t="s">
        <v>170</v>
      </c>
      <c r="P63" s="158" t="s">
        <v>557</v>
      </c>
    </row>
    <row r="64" spans="1:16" s="158" customFormat="1" ht="15.6" x14ac:dyDescent="0.3">
      <c r="A64" s="159" t="s">
        <v>238</v>
      </c>
      <c r="B64" s="160" t="s">
        <v>162</v>
      </c>
      <c r="C64" s="160" t="s">
        <v>239</v>
      </c>
      <c r="D64" s="160" t="s">
        <v>175</v>
      </c>
      <c r="E64" s="160" t="s">
        <v>165</v>
      </c>
      <c r="F64" s="160" t="s">
        <v>183</v>
      </c>
      <c r="G64" s="160" t="s">
        <v>167</v>
      </c>
      <c r="H64" s="161" t="s">
        <v>237</v>
      </c>
      <c r="I64" s="160" t="s">
        <v>169</v>
      </c>
      <c r="J64" s="202">
        <v>47118</v>
      </c>
      <c r="K64" s="163"/>
      <c r="L64" s="163"/>
      <c r="M64" s="163"/>
      <c r="N64" s="163" t="s">
        <v>170</v>
      </c>
      <c r="O64" s="163"/>
      <c r="P64" s="158" t="s">
        <v>171</v>
      </c>
    </row>
    <row r="65" spans="1:16" s="158" customFormat="1" ht="15.6" x14ac:dyDescent="0.3">
      <c r="A65" s="159" t="s">
        <v>189</v>
      </c>
      <c r="B65" s="160" t="s">
        <v>173</v>
      </c>
      <c r="C65" s="160" t="s">
        <v>190</v>
      </c>
      <c r="D65" s="160" t="s">
        <v>164</v>
      </c>
      <c r="E65" s="160" t="s">
        <v>165</v>
      </c>
      <c r="F65" s="160" t="s">
        <v>183</v>
      </c>
      <c r="G65" s="160" t="s">
        <v>167</v>
      </c>
      <c r="H65" s="161" t="s">
        <v>191</v>
      </c>
      <c r="I65" s="160" t="s">
        <v>169</v>
      </c>
      <c r="J65" s="202">
        <v>46598</v>
      </c>
      <c r="K65" s="163"/>
      <c r="L65" s="163"/>
      <c r="M65" s="163" t="s">
        <v>170</v>
      </c>
      <c r="N65" s="163"/>
      <c r="O65" s="163"/>
      <c r="P65" s="158" t="s">
        <v>171</v>
      </c>
    </row>
    <row r="66" spans="1:16" s="158" customFormat="1" ht="15.6" x14ac:dyDescent="0.3">
      <c r="A66" s="159" t="s">
        <v>571</v>
      </c>
      <c r="B66" s="160" t="s">
        <v>162</v>
      </c>
      <c r="C66" s="160" t="s">
        <v>236</v>
      </c>
      <c r="D66" s="160" t="s">
        <v>175</v>
      </c>
      <c r="E66" s="160" t="s">
        <v>165</v>
      </c>
      <c r="F66" s="160" t="s">
        <v>183</v>
      </c>
      <c r="G66" s="160" t="s">
        <v>167</v>
      </c>
      <c r="H66" s="161" t="s">
        <v>237</v>
      </c>
      <c r="I66" s="160" t="s">
        <v>169</v>
      </c>
      <c r="J66" s="202">
        <v>46568</v>
      </c>
      <c r="K66" s="163" t="s">
        <v>170</v>
      </c>
      <c r="L66" s="163"/>
      <c r="M66" s="163" t="s">
        <v>170</v>
      </c>
      <c r="N66" s="163"/>
      <c r="O66" s="163"/>
      <c r="P66" s="158" t="s">
        <v>171</v>
      </c>
    </row>
    <row r="67" spans="1:16" s="158" customFormat="1" ht="15.6" x14ac:dyDescent="0.3">
      <c r="A67" s="159" t="s">
        <v>265</v>
      </c>
      <c r="B67" s="160" t="s">
        <v>162</v>
      </c>
      <c r="C67" s="160" t="s">
        <v>196</v>
      </c>
      <c r="D67" s="160" t="s">
        <v>175</v>
      </c>
      <c r="E67" s="160" t="s">
        <v>165</v>
      </c>
      <c r="F67" s="160" t="s">
        <v>183</v>
      </c>
      <c r="G67" s="160" t="s">
        <v>167</v>
      </c>
      <c r="H67" s="161" t="s">
        <v>266</v>
      </c>
      <c r="I67" s="160" t="s">
        <v>169</v>
      </c>
      <c r="J67" s="162">
        <v>46568</v>
      </c>
      <c r="K67" s="163" t="s">
        <v>170</v>
      </c>
      <c r="L67" s="163"/>
      <c r="M67" s="163" t="s">
        <v>170</v>
      </c>
      <c r="N67" s="163"/>
      <c r="O67" s="163"/>
      <c r="P67" s="158" t="s">
        <v>229</v>
      </c>
    </row>
    <row r="68" spans="1:16" s="158" customFormat="1" ht="15.6" x14ac:dyDescent="0.3">
      <c r="A68" s="159" t="s">
        <v>217</v>
      </c>
      <c r="B68" s="160" t="s">
        <v>162</v>
      </c>
      <c r="C68" s="160" t="s">
        <v>196</v>
      </c>
      <c r="D68" s="160" t="s">
        <v>164</v>
      </c>
      <c r="E68" s="160" t="s">
        <v>206</v>
      </c>
      <c r="F68" s="160" t="s">
        <v>208</v>
      </c>
      <c r="G68" s="160" t="s">
        <v>167</v>
      </c>
      <c r="H68" s="161" t="s">
        <v>218</v>
      </c>
      <c r="I68" s="160" t="s">
        <v>169</v>
      </c>
      <c r="J68" s="387">
        <v>46112</v>
      </c>
      <c r="K68" s="163"/>
      <c r="L68" s="163" t="s">
        <v>170</v>
      </c>
      <c r="M68" s="163" t="s">
        <v>170</v>
      </c>
      <c r="N68" s="163"/>
      <c r="O68" s="163"/>
      <c r="P68" s="158" t="s">
        <v>171</v>
      </c>
    </row>
    <row r="69" spans="1:16" s="158" customFormat="1" ht="15.6" x14ac:dyDescent="0.3">
      <c r="A69" s="158" t="s">
        <v>535</v>
      </c>
      <c r="B69" s="160"/>
      <c r="C69" s="160"/>
      <c r="D69" s="160" t="s">
        <v>164</v>
      </c>
      <c r="E69" s="160" t="s">
        <v>206</v>
      </c>
      <c r="F69" s="160"/>
      <c r="G69" s="160" t="s">
        <v>437</v>
      </c>
      <c r="H69" s="165"/>
      <c r="I69" s="158" t="s">
        <v>559</v>
      </c>
      <c r="J69" s="380"/>
      <c r="K69" s="163"/>
      <c r="L69" s="163" t="s">
        <v>170</v>
      </c>
      <c r="M69" s="163"/>
      <c r="N69" s="163"/>
      <c r="O69" s="163" t="s">
        <v>170</v>
      </c>
      <c r="P69" s="158" t="s">
        <v>552</v>
      </c>
    </row>
    <row r="70" spans="1:16" s="158" customFormat="1" ht="15.6" x14ac:dyDescent="0.3">
      <c r="A70" s="159" t="s">
        <v>219</v>
      </c>
      <c r="B70" s="160" t="s">
        <v>162</v>
      </c>
      <c r="C70" s="160" t="s">
        <v>196</v>
      </c>
      <c r="D70" s="160" t="s">
        <v>164</v>
      </c>
      <c r="E70" s="160" t="s">
        <v>206</v>
      </c>
      <c r="F70" s="160" t="s">
        <v>183</v>
      </c>
      <c r="G70" s="160" t="s">
        <v>167</v>
      </c>
      <c r="H70" s="161" t="s">
        <v>218</v>
      </c>
      <c r="I70" s="160" t="s">
        <v>169</v>
      </c>
      <c r="J70" s="202">
        <v>46660</v>
      </c>
      <c r="K70" s="163"/>
      <c r="L70" s="163"/>
      <c r="M70" s="163" t="s">
        <v>170</v>
      </c>
      <c r="N70" s="163"/>
      <c r="O70" s="163"/>
      <c r="P70" s="158" t="s">
        <v>171</v>
      </c>
    </row>
    <row r="71" spans="1:16" s="158" customFormat="1" ht="15.6" x14ac:dyDescent="0.3">
      <c r="A71" s="159" t="s">
        <v>568</v>
      </c>
      <c r="B71" s="160" t="s">
        <v>162</v>
      </c>
      <c r="C71" s="160" t="s">
        <v>196</v>
      </c>
      <c r="D71" s="160" t="s">
        <v>164</v>
      </c>
      <c r="E71" s="160" t="s">
        <v>206</v>
      </c>
      <c r="F71" s="160" t="s">
        <v>166</v>
      </c>
      <c r="G71" s="160" t="s">
        <v>167</v>
      </c>
      <c r="H71" s="161" t="s">
        <v>225</v>
      </c>
      <c r="I71" s="160" t="s">
        <v>169</v>
      </c>
      <c r="J71" s="387">
        <v>46112</v>
      </c>
      <c r="K71" s="163"/>
      <c r="L71" s="163" t="s">
        <v>170</v>
      </c>
      <c r="M71" s="163" t="s">
        <v>170</v>
      </c>
      <c r="N71" s="163"/>
      <c r="O71" s="163"/>
      <c r="P71" s="158" t="s">
        <v>171</v>
      </c>
    </row>
    <row r="72" spans="1:16" s="158" customFormat="1" ht="15.6" x14ac:dyDescent="0.3">
      <c r="A72" s="159" t="s">
        <v>531</v>
      </c>
      <c r="B72" s="160" t="s">
        <v>162</v>
      </c>
      <c r="C72" s="160" t="s">
        <v>196</v>
      </c>
      <c r="D72" s="160" t="s">
        <v>164</v>
      </c>
      <c r="E72" s="160" t="s">
        <v>206</v>
      </c>
      <c r="F72" s="160" t="s">
        <v>183</v>
      </c>
      <c r="G72" s="160" t="s">
        <v>167</v>
      </c>
      <c r="H72" s="165" t="s">
        <v>532</v>
      </c>
      <c r="I72" s="160" t="s">
        <v>169</v>
      </c>
      <c r="J72" s="202">
        <v>46904</v>
      </c>
      <c r="K72" s="163" t="s">
        <v>170</v>
      </c>
      <c r="L72" s="163"/>
      <c r="M72" s="163"/>
      <c r="N72" s="163" t="s">
        <v>170</v>
      </c>
      <c r="O72" s="163"/>
      <c r="P72" s="158" t="s">
        <v>171</v>
      </c>
    </row>
    <row r="73" spans="1:16" s="158" customFormat="1" ht="15.6" x14ac:dyDescent="0.3">
      <c r="A73" s="159" t="s">
        <v>290</v>
      </c>
      <c r="B73" s="160" t="s">
        <v>233</v>
      </c>
      <c r="C73" s="160" t="s">
        <v>291</v>
      </c>
      <c r="D73" s="160" t="s">
        <v>164</v>
      </c>
      <c r="E73" s="160" t="s">
        <v>165</v>
      </c>
      <c r="F73" s="160" t="s">
        <v>166</v>
      </c>
      <c r="G73" s="160" t="s">
        <v>167</v>
      </c>
      <c r="H73" s="161" t="s">
        <v>292</v>
      </c>
      <c r="I73" s="160" t="s">
        <v>169</v>
      </c>
      <c r="J73" s="387">
        <v>46142</v>
      </c>
      <c r="K73" s="163"/>
      <c r="L73" s="163" t="s">
        <v>170</v>
      </c>
      <c r="M73" s="163"/>
      <c r="N73" s="163"/>
      <c r="O73" s="163" t="s">
        <v>170</v>
      </c>
      <c r="P73" s="158" t="s">
        <v>293</v>
      </c>
    </row>
    <row r="74" spans="1:16" s="158" customFormat="1" ht="15.6" x14ac:dyDescent="0.3">
      <c r="A74" s="168" t="s">
        <v>330</v>
      </c>
      <c r="B74" s="160" t="s">
        <v>162</v>
      </c>
      <c r="C74" s="160" t="s">
        <v>163</v>
      </c>
      <c r="D74" s="160" t="s">
        <v>164</v>
      </c>
      <c r="E74" s="160" t="s">
        <v>165</v>
      </c>
      <c r="F74" s="160" t="s">
        <v>183</v>
      </c>
      <c r="G74" s="160" t="s">
        <v>167</v>
      </c>
      <c r="H74" s="161" t="s">
        <v>249</v>
      </c>
      <c r="I74" s="160" t="s">
        <v>169</v>
      </c>
      <c r="J74" s="162">
        <v>46660</v>
      </c>
      <c r="K74" s="163"/>
      <c r="L74" s="163"/>
      <c r="M74" s="163" t="s">
        <v>170</v>
      </c>
      <c r="N74" s="163"/>
      <c r="O74" s="163"/>
      <c r="P74" s="158" t="s">
        <v>171</v>
      </c>
    </row>
    <row r="75" spans="1:16" s="158" customFormat="1" ht="15.6" x14ac:dyDescent="0.3">
      <c r="A75" s="158" t="s">
        <v>542</v>
      </c>
      <c r="D75" s="158" t="s">
        <v>164</v>
      </c>
      <c r="E75" s="158" t="s">
        <v>165</v>
      </c>
      <c r="G75" s="160" t="s">
        <v>437</v>
      </c>
      <c r="I75" s="158" t="s">
        <v>559</v>
      </c>
      <c r="J75" s="381"/>
      <c r="K75" s="163"/>
      <c r="L75" s="163"/>
      <c r="M75" s="163"/>
      <c r="N75" s="163" t="s">
        <v>170</v>
      </c>
      <c r="O75" s="163"/>
      <c r="P75" s="158" t="s">
        <v>556</v>
      </c>
    </row>
    <row r="76" spans="1:16" s="158" customFormat="1" ht="15.6" x14ac:dyDescent="0.3">
      <c r="A76" s="159" t="s">
        <v>570</v>
      </c>
      <c r="B76" s="160" t="s">
        <v>173</v>
      </c>
      <c r="C76" s="160" t="s">
        <v>163</v>
      </c>
      <c r="D76" s="160" t="s">
        <v>164</v>
      </c>
      <c r="E76" s="160" t="s">
        <v>165</v>
      </c>
      <c r="F76" s="160" t="s">
        <v>176</v>
      </c>
      <c r="G76" s="160" t="s">
        <v>167</v>
      </c>
      <c r="H76" s="161" t="s">
        <v>263</v>
      </c>
      <c r="I76" s="160" t="s">
        <v>169</v>
      </c>
      <c r="J76" s="162">
        <v>47573</v>
      </c>
      <c r="K76" s="163" t="s">
        <v>170</v>
      </c>
      <c r="L76" s="163"/>
      <c r="M76" s="163"/>
      <c r="N76" s="163"/>
      <c r="O76" s="163"/>
      <c r="P76" s="158" t="s">
        <v>171</v>
      </c>
    </row>
    <row r="77" spans="1:16" s="158" customFormat="1" ht="15.6" x14ac:dyDescent="0.3">
      <c r="A77" s="159" t="s">
        <v>269</v>
      </c>
      <c r="B77" s="160" t="s">
        <v>173</v>
      </c>
      <c r="C77" s="160" t="s">
        <v>163</v>
      </c>
      <c r="D77" s="160" t="s">
        <v>164</v>
      </c>
      <c r="E77" s="160" t="s">
        <v>206</v>
      </c>
      <c r="F77" s="160" t="s">
        <v>176</v>
      </c>
      <c r="G77" s="160" t="s">
        <v>167</v>
      </c>
      <c r="H77" s="161" t="s">
        <v>268</v>
      </c>
      <c r="I77" s="160" t="s">
        <v>169</v>
      </c>
      <c r="J77" s="162">
        <v>47514</v>
      </c>
      <c r="K77" s="163" t="s">
        <v>170</v>
      </c>
      <c r="L77" s="163"/>
      <c r="M77" s="163"/>
      <c r="N77" s="163"/>
      <c r="O77" s="163"/>
      <c r="P77" s="158" t="s">
        <v>171</v>
      </c>
    </row>
    <row r="78" spans="1:16" s="158" customFormat="1" ht="15.6" x14ac:dyDescent="0.3">
      <c r="A78" s="159" t="s">
        <v>336</v>
      </c>
      <c r="B78" s="160" t="s">
        <v>202</v>
      </c>
      <c r="C78" s="160" t="s">
        <v>337</v>
      </c>
      <c r="D78" s="160" t="s">
        <v>164</v>
      </c>
      <c r="E78" s="160" t="s">
        <v>165</v>
      </c>
      <c r="F78" s="160" t="s">
        <v>176</v>
      </c>
      <c r="G78" s="160" t="s">
        <v>167</v>
      </c>
      <c r="H78" s="161" t="s">
        <v>212</v>
      </c>
      <c r="I78" s="160" t="s">
        <v>169</v>
      </c>
      <c r="J78" s="162">
        <v>46783</v>
      </c>
      <c r="K78" s="163"/>
      <c r="L78" s="163"/>
      <c r="M78" s="163"/>
      <c r="N78" s="163" t="s">
        <v>170</v>
      </c>
      <c r="O78" s="163"/>
      <c r="P78" s="158" t="s">
        <v>171</v>
      </c>
    </row>
    <row r="79" spans="1:16" s="158" customFormat="1" ht="15.6" x14ac:dyDescent="0.3">
      <c r="A79" s="159" t="s">
        <v>192</v>
      </c>
      <c r="B79" s="160" t="s">
        <v>173</v>
      </c>
      <c r="C79" s="160" t="s">
        <v>190</v>
      </c>
      <c r="D79" s="160" t="s">
        <v>164</v>
      </c>
      <c r="E79" s="160" t="s">
        <v>165</v>
      </c>
      <c r="F79" s="160" t="s">
        <v>176</v>
      </c>
      <c r="G79" s="160" t="s">
        <v>438</v>
      </c>
      <c r="H79" s="161" t="s">
        <v>193</v>
      </c>
      <c r="I79" s="160" t="s">
        <v>169</v>
      </c>
      <c r="J79" s="162"/>
      <c r="K79" s="163"/>
      <c r="L79" s="163"/>
      <c r="M79" s="163"/>
      <c r="N79" s="163"/>
      <c r="O79" s="163" t="s">
        <v>170</v>
      </c>
      <c r="P79" s="158" t="s">
        <v>171</v>
      </c>
    </row>
    <row r="80" spans="1:16" s="158" customFormat="1" ht="15.6" x14ac:dyDescent="0.3">
      <c r="A80" s="159" t="s">
        <v>331</v>
      </c>
      <c r="B80" s="160" t="s">
        <v>173</v>
      </c>
      <c r="C80" s="160" t="s">
        <v>275</v>
      </c>
      <c r="D80" s="160" t="s">
        <v>164</v>
      </c>
      <c r="E80" s="160" t="s">
        <v>165</v>
      </c>
      <c r="F80" s="160" t="s">
        <v>332</v>
      </c>
      <c r="G80" s="160" t="s">
        <v>167</v>
      </c>
      <c r="H80" s="161" t="s">
        <v>277</v>
      </c>
      <c r="I80" s="160" t="s">
        <v>216</v>
      </c>
      <c r="J80" s="162">
        <v>46660</v>
      </c>
      <c r="K80" s="163"/>
      <c r="L80" s="163"/>
      <c r="M80" s="163" t="s">
        <v>170</v>
      </c>
      <c r="N80" s="163"/>
      <c r="O80" s="163"/>
      <c r="P80" s="158" t="s">
        <v>171</v>
      </c>
    </row>
    <row r="81" spans="1:16" s="158" customFormat="1" ht="15.6" x14ac:dyDescent="0.3">
      <c r="A81" s="159" t="s">
        <v>302</v>
      </c>
      <c r="B81" s="160" t="s">
        <v>303</v>
      </c>
      <c r="C81" s="160" t="s">
        <v>304</v>
      </c>
      <c r="D81" s="160" t="s">
        <v>164</v>
      </c>
      <c r="E81" s="160" t="s">
        <v>165</v>
      </c>
      <c r="F81" s="160" t="s">
        <v>183</v>
      </c>
      <c r="G81" s="160" t="s">
        <v>167</v>
      </c>
      <c r="H81" s="161" t="s">
        <v>305</v>
      </c>
      <c r="I81" s="160" t="s">
        <v>169</v>
      </c>
      <c r="J81" s="387">
        <v>46234</v>
      </c>
      <c r="K81" s="163"/>
      <c r="L81" s="163" t="s">
        <v>170</v>
      </c>
      <c r="M81" s="163"/>
      <c r="N81" s="163"/>
      <c r="O81" s="163" t="s">
        <v>170</v>
      </c>
      <c r="P81" s="158" t="s">
        <v>229</v>
      </c>
    </row>
    <row r="82" spans="1:16" s="158" customFormat="1" ht="15.6" x14ac:dyDescent="0.3">
      <c r="A82" s="159" t="s">
        <v>185</v>
      </c>
      <c r="B82" s="160" t="s">
        <v>173</v>
      </c>
      <c r="C82" s="160" t="s">
        <v>174</v>
      </c>
      <c r="D82" s="160" t="s">
        <v>175</v>
      </c>
      <c r="E82" s="160" t="s">
        <v>165</v>
      </c>
      <c r="F82" s="160" t="s">
        <v>186</v>
      </c>
      <c r="G82" s="160" t="s">
        <v>167</v>
      </c>
      <c r="H82" s="161" t="s">
        <v>184</v>
      </c>
      <c r="I82" s="160" t="s">
        <v>169</v>
      </c>
      <c r="J82" s="202">
        <v>46904</v>
      </c>
      <c r="K82" s="163"/>
      <c r="L82" s="163"/>
      <c r="M82" s="163" t="s">
        <v>170</v>
      </c>
      <c r="N82" s="163"/>
      <c r="O82" s="163"/>
      <c r="P82" s="158" t="s">
        <v>171</v>
      </c>
    </row>
    <row r="83" spans="1:16" s="158" customFormat="1" ht="15.6" x14ac:dyDescent="0.3">
      <c r="A83" s="159" t="s">
        <v>333</v>
      </c>
      <c r="B83" s="160" t="s">
        <v>334</v>
      </c>
      <c r="C83" s="160" t="s">
        <v>203</v>
      </c>
      <c r="D83" s="160" t="s">
        <v>164</v>
      </c>
      <c r="E83" s="160" t="s">
        <v>165</v>
      </c>
      <c r="F83" s="160" t="s">
        <v>176</v>
      </c>
      <c r="G83" s="160" t="s">
        <v>167</v>
      </c>
      <c r="H83" s="161" t="s">
        <v>335</v>
      </c>
      <c r="I83" s="160" t="s">
        <v>169</v>
      </c>
      <c r="J83" s="162">
        <v>46691</v>
      </c>
      <c r="K83" s="163"/>
      <c r="L83" s="163"/>
      <c r="M83" s="163" t="s">
        <v>170</v>
      </c>
      <c r="N83" s="163"/>
      <c r="O83" s="163"/>
      <c r="P83" s="158" t="s">
        <v>171</v>
      </c>
    </row>
    <row r="84" spans="1:16" s="158" customFormat="1" ht="15.6" x14ac:dyDescent="0.3">
      <c r="A84" s="158" t="s">
        <v>547</v>
      </c>
      <c r="D84" s="158" t="s">
        <v>181</v>
      </c>
      <c r="E84" s="158" t="s">
        <v>165</v>
      </c>
      <c r="G84" s="160" t="s">
        <v>437</v>
      </c>
      <c r="I84" s="158" t="s">
        <v>559</v>
      </c>
      <c r="J84" s="381"/>
      <c r="K84" s="163"/>
      <c r="L84" s="163"/>
      <c r="M84" s="163"/>
      <c r="N84" s="163" t="s">
        <v>170</v>
      </c>
      <c r="O84" s="163"/>
      <c r="P84" s="158" t="s">
        <v>556</v>
      </c>
    </row>
    <row r="85" spans="1:16" s="158" customFormat="1" ht="15.6" x14ac:dyDescent="0.3">
      <c r="A85" s="159" t="s">
        <v>187</v>
      </c>
      <c r="B85" s="160" t="s">
        <v>173</v>
      </c>
      <c r="C85" s="160" t="s">
        <v>174</v>
      </c>
      <c r="D85" s="160" t="s">
        <v>175</v>
      </c>
      <c r="E85" s="160" t="s">
        <v>165</v>
      </c>
      <c r="F85" s="160" t="s">
        <v>183</v>
      </c>
      <c r="G85" s="160" t="s">
        <v>167</v>
      </c>
      <c r="H85" s="161" t="s">
        <v>184</v>
      </c>
      <c r="I85" s="160" t="s">
        <v>169</v>
      </c>
      <c r="J85" s="202">
        <v>46904</v>
      </c>
      <c r="K85" s="163"/>
      <c r="L85" s="163"/>
      <c r="M85" s="163" t="s">
        <v>170</v>
      </c>
      <c r="N85" s="163"/>
      <c r="O85" s="163"/>
      <c r="P85" s="158" t="s">
        <v>171</v>
      </c>
    </row>
    <row r="86" spans="1:16" s="158" customFormat="1" ht="15.6" x14ac:dyDescent="0.3">
      <c r="A86" s="158" t="s">
        <v>544</v>
      </c>
      <c r="D86" s="158" t="s">
        <v>164</v>
      </c>
      <c r="E86" s="158" t="s">
        <v>165</v>
      </c>
      <c r="G86" s="160" t="s">
        <v>437</v>
      </c>
      <c r="I86" s="158" t="s">
        <v>559</v>
      </c>
      <c r="J86" s="381"/>
      <c r="K86" s="163"/>
      <c r="L86" s="163" t="s">
        <v>170</v>
      </c>
      <c r="M86" s="163"/>
      <c r="N86" s="163"/>
      <c r="O86" s="163" t="s">
        <v>170</v>
      </c>
      <c r="P86" s="158" t="s">
        <v>555</v>
      </c>
    </row>
    <row r="87" spans="1:16" s="158" customFormat="1" ht="15.6" x14ac:dyDescent="0.3">
      <c r="A87" s="158" t="s">
        <v>539</v>
      </c>
      <c r="B87" s="160"/>
      <c r="C87" s="160"/>
      <c r="D87" s="158" t="s">
        <v>164</v>
      </c>
      <c r="E87" s="160" t="s">
        <v>206</v>
      </c>
      <c r="F87" s="160"/>
      <c r="G87" s="160" t="s">
        <v>437</v>
      </c>
      <c r="H87" s="165"/>
      <c r="I87" s="158" t="s">
        <v>559</v>
      </c>
      <c r="J87" s="380"/>
      <c r="K87" s="163"/>
      <c r="L87" s="163" t="s">
        <v>170</v>
      </c>
      <c r="M87" s="163"/>
      <c r="N87" s="163" t="s">
        <v>170</v>
      </c>
      <c r="O87" s="163"/>
      <c r="P87" s="158" t="s">
        <v>551</v>
      </c>
    </row>
    <row r="88" spans="1:16" s="158" customFormat="1" ht="15.6" x14ac:dyDescent="0.3">
      <c r="A88" s="158" t="s">
        <v>543</v>
      </c>
      <c r="D88" s="158" t="s">
        <v>164</v>
      </c>
      <c r="E88" s="158" t="s">
        <v>165</v>
      </c>
      <c r="G88" s="160" t="s">
        <v>437</v>
      </c>
      <c r="I88" s="158" t="s">
        <v>559</v>
      </c>
      <c r="J88" s="381"/>
      <c r="K88" s="163"/>
      <c r="L88" s="163"/>
      <c r="M88" s="163"/>
      <c r="N88" s="163"/>
      <c r="O88" s="163" t="s">
        <v>170</v>
      </c>
      <c r="P88" s="158" t="s">
        <v>557</v>
      </c>
    </row>
    <row r="89" spans="1:16" s="158" customFormat="1" ht="31.2" x14ac:dyDescent="0.3">
      <c r="A89" s="166" t="s">
        <v>240</v>
      </c>
      <c r="B89" s="160" t="s">
        <v>173</v>
      </c>
      <c r="C89" s="160"/>
      <c r="D89" s="160" t="s">
        <v>175</v>
      </c>
      <c r="E89" s="160" t="s">
        <v>165</v>
      </c>
      <c r="F89" s="160" t="s">
        <v>183</v>
      </c>
      <c r="G89" s="160" t="s">
        <v>437</v>
      </c>
      <c r="H89" s="161" t="s">
        <v>241</v>
      </c>
      <c r="I89" s="160" t="s">
        <v>169</v>
      </c>
      <c r="J89" s="162"/>
      <c r="K89" s="163"/>
      <c r="L89" s="163"/>
      <c r="M89" s="163"/>
      <c r="N89" s="163" t="s">
        <v>170</v>
      </c>
      <c r="O89" s="163"/>
      <c r="P89" s="158" t="s">
        <v>242</v>
      </c>
    </row>
    <row r="90" spans="1:16" s="158" customFormat="1" ht="15.6" x14ac:dyDescent="0.3">
      <c r="A90" s="159" t="s">
        <v>211</v>
      </c>
      <c r="B90" s="160" t="s">
        <v>162</v>
      </c>
      <c r="C90" s="160" t="s">
        <v>196</v>
      </c>
      <c r="D90" s="160" t="s">
        <v>164</v>
      </c>
      <c r="E90" s="160" t="s">
        <v>206</v>
      </c>
      <c r="F90" s="160" t="s">
        <v>183</v>
      </c>
      <c r="G90" s="160" t="s">
        <v>167</v>
      </c>
      <c r="H90" s="161" t="s">
        <v>212</v>
      </c>
      <c r="I90" s="160" t="s">
        <v>169</v>
      </c>
      <c r="J90" s="202">
        <v>46660</v>
      </c>
      <c r="K90" s="163"/>
      <c r="L90" s="163"/>
      <c r="M90" s="163" t="s">
        <v>170</v>
      </c>
      <c r="N90" s="163"/>
      <c r="O90" s="163"/>
      <c r="P90" s="158" t="s">
        <v>171</v>
      </c>
    </row>
    <row r="91" spans="1:16" s="158" customFormat="1" ht="15.6" x14ac:dyDescent="0.3">
      <c r="A91" s="158" t="s">
        <v>534</v>
      </c>
      <c r="B91" s="160"/>
      <c r="C91" s="160"/>
      <c r="D91" s="160" t="s">
        <v>164</v>
      </c>
      <c r="E91" s="160" t="s">
        <v>165</v>
      </c>
      <c r="F91" s="160"/>
      <c r="G91" s="160" t="s">
        <v>437</v>
      </c>
      <c r="H91" s="161"/>
      <c r="I91" s="158" t="s">
        <v>559</v>
      </c>
      <c r="J91" s="380"/>
      <c r="K91" s="163" t="s">
        <v>170</v>
      </c>
      <c r="L91" s="163"/>
      <c r="M91" s="163"/>
      <c r="N91" s="163" t="s">
        <v>170</v>
      </c>
      <c r="O91" s="163"/>
      <c r="P91" s="158" t="s">
        <v>551</v>
      </c>
    </row>
    <row r="92" spans="1:16" s="158" customFormat="1" ht="15.6" x14ac:dyDescent="0.3">
      <c r="A92" s="159" t="s">
        <v>188</v>
      </c>
      <c r="B92" s="160" t="s">
        <v>173</v>
      </c>
      <c r="C92" s="160" t="s">
        <v>174</v>
      </c>
      <c r="D92" s="160" t="s">
        <v>164</v>
      </c>
      <c r="E92" s="160" t="s">
        <v>165</v>
      </c>
      <c r="F92" s="160" t="s">
        <v>183</v>
      </c>
      <c r="G92" s="160" t="s">
        <v>167</v>
      </c>
      <c r="H92" s="161" t="s">
        <v>184</v>
      </c>
      <c r="I92" s="160" t="s">
        <v>169</v>
      </c>
      <c r="J92" s="202">
        <v>46904</v>
      </c>
      <c r="K92" s="163"/>
      <c r="L92" s="163"/>
      <c r="M92" s="163" t="s">
        <v>170</v>
      </c>
      <c r="N92" s="163"/>
      <c r="O92" s="163"/>
      <c r="P92" s="158" t="s">
        <v>171</v>
      </c>
    </row>
    <row r="93" spans="1:16" s="158" customFormat="1" ht="15.6" x14ac:dyDescent="0.3">
      <c r="A93" s="164" t="s">
        <v>197</v>
      </c>
      <c r="B93" s="160" t="s">
        <v>198</v>
      </c>
      <c r="C93" s="160" t="s">
        <v>199</v>
      </c>
      <c r="D93" s="160" t="s">
        <v>175</v>
      </c>
      <c r="E93" s="160" t="s">
        <v>165</v>
      </c>
      <c r="F93" s="160"/>
      <c r="G93" s="160" t="s">
        <v>167</v>
      </c>
      <c r="H93" s="161" t="s">
        <v>184</v>
      </c>
      <c r="I93" s="160" t="s">
        <v>200</v>
      </c>
      <c r="J93" s="202">
        <v>47330</v>
      </c>
      <c r="K93" s="163" t="s">
        <v>170</v>
      </c>
      <c r="L93" s="163" t="s">
        <v>170</v>
      </c>
      <c r="M93" s="163"/>
      <c r="N93" s="163"/>
      <c r="O93" s="163" t="s">
        <v>170</v>
      </c>
      <c r="P93" s="158" t="s">
        <v>171</v>
      </c>
    </row>
    <row r="94" spans="1:16" s="158" customFormat="1" ht="15.6" x14ac:dyDescent="0.3">
      <c r="A94" s="159" t="s">
        <v>285</v>
      </c>
      <c r="B94" s="160" t="s">
        <v>202</v>
      </c>
      <c r="C94" s="160" t="s">
        <v>246</v>
      </c>
      <c r="D94" s="160" t="s">
        <v>164</v>
      </c>
      <c r="E94" s="160" t="s">
        <v>165</v>
      </c>
      <c r="F94" s="160" t="s">
        <v>176</v>
      </c>
      <c r="G94" s="160" t="s">
        <v>167</v>
      </c>
      <c r="H94" s="161" t="s">
        <v>260</v>
      </c>
      <c r="I94" s="160" t="s">
        <v>169</v>
      </c>
      <c r="J94" s="387">
        <v>46112</v>
      </c>
      <c r="K94" s="163"/>
      <c r="L94" s="163" t="s">
        <v>170</v>
      </c>
      <c r="M94" s="163"/>
      <c r="N94" s="163"/>
      <c r="O94" s="163"/>
      <c r="P94" s="158" t="s">
        <v>171</v>
      </c>
    </row>
    <row r="95" spans="1:16" s="158" customFormat="1" ht="15.6" x14ac:dyDescent="0.3">
      <c r="A95" s="159" t="s">
        <v>262</v>
      </c>
      <c r="B95" s="160" t="s">
        <v>202</v>
      </c>
      <c r="C95" s="160" t="s">
        <v>246</v>
      </c>
      <c r="D95" s="160" t="s">
        <v>164</v>
      </c>
      <c r="E95" s="160" t="s">
        <v>165</v>
      </c>
      <c r="F95" s="160" t="s">
        <v>183</v>
      </c>
      <c r="G95" s="160" t="s">
        <v>167</v>
      </c>
      <c r="H95" s="161" t="s">
        <v>261</v>
      </c>
      <c r="I95" s="160" t="s">
        <v>169</v>
      </c>
      <c r="J95" s="162">
        <v>45961</v>
      </c>
      <c r="K95" s="163" t="s">
        <v>170</v>
      </c>
      <c r="L95" s="163"/>
      <c r="M95" s="163"/>
      <c r="N95" s="163" t="s">
        <v>170</v>
      </c>
      <c r="O95" s="163"/>
      <c r="P95" s="158" t="s">
        <v>229</v>
      </c>
    </row>
    <row r="96" spans="1:16" s="158" customFormat="1" ht="15.6" x14ac:dyDescent="0.3">
      <c r="A96" s="159" t="s">
        <v>322</v>
      </c>
      <c r="B96" s="160" t="s">
        <v>323</v>
      </c>
      <c r="C96" s="160" t="s">
        <v>246</v>
      </c>
      <c r="D96" s="160" t="s">
        <v>164</v>
      </c>
      <c r="E96" s="160" t="s">
        <v>165</v>
      </c>
      <c r="F96" s="160"/>
      <c r="G96" s="160" t="s">
        <v>167</v>
      </c>
      <c r="H96" s="161" t="s">
        <v>321</v>
      </c>
      <c r="I96" s="160" t="s">
        <v>216</v>
      </c>
      <c r="J96" s="162">
        <v>46538</v>
      </c>
      <c r="K96" s="163"/>
      <c r="L96" s="163"/>
      <c r="M96" s="163" t="s">
        <v>170</v>
      </c>
      <c r="N96" s="163"/>
      <c r="O96" s="163"/>
      <c r="P96" s="158" t="s">
        <v>171</v>
      </c>
    </row>
    <row r="97" spans="1:16" s="158" customFormat="1" ht="15.6" x14ac:dyDescent="0.3">
      <c r="A97" s="164" t="s">
        <v>245</v>
      </c>
      <c r="B97" s="160" t="s">
        <v>202</v>
      </c>
      <c r="C97" s="160" t="s">
        <v>246</v>
      </c>
      <c r="D97" s="160" t="s">
        <v>164</v>
      </c>
      <c r="E97" s="160" t="s">
        <v>206</v>
      </c>
      <c r="F97" s="160"/>
      <c r="G97" s="160" t="s">
        <v>167</v>
      </c>
      <c r="H97" s="161" t="s">
        <v>247</v>
      </c>
      <c r="I97" s="160" t="s">
        <v>248</v>
      </c>
      <c r="J97" s="202">
        <v>47057</v>
      </c>
      <c r="K97" s="163"/>
      <c r="L97" s="163" t="s">
        <v>170</v>
      </c>
      <c r="M97" s="163"/>
      <c r="N97" s="163"/>
      <c r="O97" s="163"/>
      <c r="P97" s="158" t="s">
        <v>171</v>
      </c>
    </row>
    <row r="98" spans="1:16" s="158" customFormat="1" ht="15.6" x14ac:dyDescent="0.3">
      <c r="A98" s="166" t="s">
        <v>243</v>
      </c>
      <c r="B98" s="160" t="s">
        <v>202</v>
      </c>
      <c r="C98" s="160" t="s">
        <v>244</v>
      </c>
      <c r="D98" s="160" t="s">
        <v>164</v>
      </c>
      <c r="E98" s="160" t="s">
        <v>165</v>
      </c>
      <c r="F98" s="160"/>
      <c r="G98" s="160" t="s">
        <v>167</v>
      </c>
      <c r="H98" s="161" t="s">
        <v>241</v>
      </c>
      <c r="I98" s="160" t="s">
        <v>169</v>
      </c>
      <c r="J98" s="202">
        <v>47118</v>
      </c>
      <c r="K98" s="163"/>
      <c r="L98" s="163"/>
      <c r="M98" s="163"/>
      <c r="N98" s="163" t="s">
        <v>170</v>
      </c>
      <c r="O98" s="163"/>
      <c r="P98" s="158" t="s">
        <v>242</v>
      </c>
    </row>
    <row r="99" spans="1:16" s="158" customFormat="1" ht="15.6" x14ac:dyDescent="0.3">
      <c r="A99" s="158" t="s">
        <v>243</v>
      </c>
      <c r="D99" s="158" t="s">
        <v>164</v>
      </c>
      <c r="E99" s="158" t="s">
        <v>206</v>
      </c>
      <c r="G99" s="160" t="s">
        <v>437</v>
      </c>
      <c r="I99" s="158" t="s">
        <v>559</v>
      </c>
      <c r="J99" s="381"/>
      <c r="K99" s="163"/>
      <c r="L99" s="163"/>
      <c r="M99" s="163"/>
      <c r="N99" s="163" t="s">
        <v>170</v>
      </c>
      <c r="O99" s="163"/>
      <c r="P99" s="158" t="s">
        <v>556</v>
      </c>
    </row>
    <row r="100" spans="1:16" s="158" customFormat="1" ht="15.6" x14ac:dyDescent="0.3">
      <c r="A100" s="159" t="s">
        <v>296</v>
      </c>
      <c r="B100" s="160" t="s">
        <v>297</v>
      </c>
      <c r="C100" s="160" t="s">
        <v>221</v>
      </c>
      <c r="D100" s="160" t="s">
        <v>164</v>
      </c>
      <c r="E100" s="160" t="s">
        <v>206</v>
      </c>
      <c r="F100" s="160" t="s">
        <v>176</v>
      </c>
      <c r="G100" s="160" t="s">
        <v>167</v>
      </c>
      <c r="H100" s="161" t="s">
        <v>177</v>
      </c>
      <c r="I100" s="160" t="s">
        <v>169</v>
      </c>
      <c r="J100" s="387">
        <v>46172</v>
      </c>
      <c r="K100" s="163"/>
      <c r="L100" s="163" t="s">
        <v>170</v>
      </c>
      <c r="M100" s="163"/>
      <c r="N100" s="163"/>
      <c r="O100" s="163"/>
      <c r="P100" s="158" t="s">
        <v>171</v>
      </c>
    </row>
    <row r="101" spans="1:16" s="158" customFormat="1" ht="15.6" x14ac:dyDescent="0.3">
      <c r="A101" s="164" t="s">
        <v>324</v>
      </c>
      <c r="B101" s="160" t="s">
        <v>162</v>
      </c>
      <c r="C101" s="160"/>
      <c r="D101" s="160" t="s">
        <v>175</v>
      </c>
      <c r="E101" s="160" t="s">
        <v>165</v>
      </c>
      <c r="F101" s="160"/>
      <c r="G101" s="160" t="s">
        <v>167</v>
      </c>
      <c r="H101" s="161" t="s">
        <v>321</v>
      </c>
      <c r="I101" s="160" t="s">
        <v>169</v>
      </c>
      <c r="J101" s="162">
        <v>46538</v>
      </c>
      <c r="K101" s="163"/>
      <c r="L101" s="163"/>
      <c r="M101" s="163" t="s">
        <v>170</v>
      </c>
      <c r="N101" s="163"/>
      <c r="O101" s="163"/>
      <c r="P101" s="158" t="s">
        <v>171</v>
      </c>
    </row>
    <row r="102" spans="1:16" s="158" customFormat="1" ht="15.6" x14ac:dyDescent="0.3">
      <c r="A102" s="159" t="s">
        <v>298</v>
      </c>
      <c r="B102" s="160" t="s">
        <v>162</v>
      </c>
      <c r="C102" s="160" t="s">
        <v>239</v>
      </c>
      <c r="D102" s="160" t="s">
        <v>175</v>
      </c>
      <c r="E102" s="160" t="s">
        <v>206</v>
      </c>
      <c r="F102" s="160" t="s">
        <v>186</v>
      </c>
      <c r="G102" s="160" t="s">
        <v>167</v>
      </c>
      <c r="H102" s="161" t="s">
        <v>227</v>
      </c>
      <c r="I102" s="160" t="s">
        <v>169</v>
      </c>
      <c r="J102" s="387">
        <v>46173</v>
      </c>
      <c r="K102" s="163"/>
      <c r="L102" s="163" t="s">
        <v>170</v>
      </c>
      <c r="M102" s="163"/>
      <c r="N102" s="163"/>
      <c r="O102" s="163" t="s">
        <v>170</v>
      </c>
      <c r="P102" s="158" t="s">
        <v>229</v>
      </c>
    </row>
    <row r="103" spans="1:16" s="158" customFormat="1" ht="15.6" x14ac:dyDescent="0.3">
      <c r="A103" s="159" t="s">
        <v>300</v>
      </c>
      <c r="B103" s="160" t="s">
        <v>162</v>
      </c>
      <c r="C103" s="160" t="s">
        <v>239</v>
      </c>
      <c r="D103" s="160" t="s">
        <v>175</v>
      </c>
      <c r="E103" s="160" t="s">
        <v>206</v>
      </c>
      <c r="F103" s="160" t="s">
        <v>186</v>
      </c>
      <c r="G103" s="160" t="s">
        <v>167</v>
      </c>
      <c r="H103" s="161" t="s">
        <v>301</v>
      </c>
      <c r="I103" s="160" t="s">
        <v>169</v>
      </c>
      <c r="J103" s="387">
        <v>46203</v>
      </c>
      <c r="K103" s="163"/>
      <c r="L103" s="163" t="s">
        <v>170</v>
      </c>
      <c r="M103" s="163"/>
      <c r="N103" s="163"/>
      <c r="O103" s="163" t="s">
        <v>170</v>
      </c>
      <c r="P103" s="158" t="s">
        <v>229</v>
      </c>
    </row>
    <row r="104" spans="1:16" s="158" customFormat="1" ht="15.6" x14ac:dyDescent="0.3">
      <c r="A104" s="159" t="s">
        <v>213</v>
      </c>
      <c r="B104" s="160" t="s">
        <v>162</v>
      </c>
      <c r="C104" s="160" t="s">
        <v>214</v>
      </c>
      <c r="D104" s="160" t="s">
        <v>175</v>
      </c>
      <c r="E104" s="160" t="s">
        <v>165</v>
      </c>
      <c r="F104" s="160"/>
      <c r="G104" s="160" t="s">
        <v>167</v>
      </c>
      <c r="H104" s="161" t="s">
        <v>215</v>
      </c>
      <c r="I104" s="160" t="s">
        <v>216</v>
      </c>
      <c r="J104" s="202">
        <v>46022</v>
      </c>
      <c r="K104" s="163" t="s">
        <v>170</v>
      </c>
      <c r="L104" s="163"/>
      <c r="M104" s="163"/>
      <c r="N104" s="163" t="s">
        <v>170</v>
      </c>
      <c r="O104" s="163"/>
      <c r="P104" s="158" t="s">
        <v>171</v>
      </c>
    </row>
    <row r="105" spans="1:16" s="158" customFormat="1" ht="15.6" x14ac:dyDescent="0.3">
      <c r="A105" s="159" t="s">
        <v>226</v>
      </c>
      <c r="B105" s="160" t="s">
        <v>162</v>
      </c>
      <c r="C105" s="160" t="s">
        <v>214</v>
      </c>
      <c r="D105" s="160" t="s">
        <v>175</v>
      </c>
      <c r="E105" s="160" t="s">
        <v>165</v>
      </c>
      <c r="F105" s="160" t="s">
        <v>183</v>
      </c>
      <c r="G105" s="160" t="s">
        <v>209</v>
      </c>
      <c r="H105" s="161" t="s">
        <v>227</v>
      </c>
      <c r="I105" s="160" t="s">
        <v>169</v>
      </c>
      <c r="J105" s="387">
        <v>46356</v>
      </c>
      <c r="K105" s="163"/>
      <c r="L105" s="163" t="s">
        <v>170</v>
      </c>
      <c r="M105" s="163"/>
      <c r="N105" s="163" t="s">
        <v>170</v>
      </c>
      <c r="O105" s="163"/>
      <c r="P105" s="158" t="s">
        <v>171</v>
      </c>
    </row>
    <row r="106" spans="1:16" s="158" customFormat="1" ht="15.6" x14ac:dyDescent="0.3">
      <c r="A106" s="159" t="s">
        <v>308</v>
      </c>
      <c r="B106" s="160" t="s">
        <v>233</v>
      </c>
      <c r="C106" s="160" t="s">
        <v>234</v>
      </c>
      <c r="D106" s="160" t="s">
        <v>164</v>
      </c>
      <c r="E106" s="160" t="s">
        <v>165</v>
      </c>
      <c r="F106" s="160" t="s">
        <v>309</v>
      </c>
      <c r="G106" s="160" t="s">
        <v>167</v>
      </c>
      <c r="H106" s="161" t="s">
        <v>249</v>
      </c>
      <c r="I106" s="160" t="s">
        <v>216</v>
      </c>
      <c r="J106" s="387">
        <v>46295</v>
      </c>
      <c r="K106" s="163"/>
      <c r="L106" s="163" t="s">
        <v>170</v>
      </c>
      <c r="M106" s="163"/>
      <c r="N106" s="163"/>
      <c r="O106" s="163" t="s">
        <v>170</v>
      </c>
      <c r="P106" s="158" t="s">
        <v>229</v>
      </c>
    </row>
    <row r="107" spans="1:16" s="158" customFormat="1" ht="15.6" x14ac:dyDescent="0.3">
      <c r="A107" s="159" t="s">
        <v>232</v>
      </c>
      <c r="B107" s="160" t="s">
        <v>233</v>
      </c>
      <c r="C107" s="160" t="s">
        <v>234</v>
      </c>
      <c r="D107" s="160" t="s">
        <v>164</v>
      </c>
      <c r="E107" s="160" t="s">
        <v>165</v>
      </c>
      <c r="F107" s="160" t="s">
        <v>166</v>
      </c>
      <c r="G107" s="160" t="s">
        <v>167</v>
      </c>
      <c r="H107" s="161" t="s">
        <v>235</v>
      </c>
      <c r="I107" s="160" t="s">
        <v>169</v>
      </c>
      <c r="J107" s="387">
        <v>46387</v>
      </c>
      <c r="K107" s="163"/>
      <c r="L107" s="163" t="s">
        <v>170</v>
      </c>
      <c r="N107" s="163"/>
      <c r="O107" s="163" t="s">
        <v>170</v>
      </c>
      <c r="P107" s="158" t="s">
        <v>229</v>
      </c>
    </row>
    <row r="108" spans="1:16" s="158" customFormat="1" ht="15.6" x14ac:dyDescent="0.3">
      <c r="A108" s="159" t="s">
        <v>251</v>
      </c>
      <c r="B108" s="160" t="s">
        <v>233</v>
      </c>
      <c r="C108" s="160" t="s">
        <v>234</v>
      </c>
      <c r="D108" s="160" t="s">
        <v>164</v>
      </c>
      <c r="E108" s="160" t="s">
        <v>206</v>
      </c>
      <c r="F108" s="160"/>
      <c r="G108" s="160" t="s">
        <v>167</v>
      </c>
      <c r="H108" s="161" t="s">
        <v>212</v>
      </c>
      <c r="I108" s="160" t="s">
        <v>216</v>
      </c>
      <c r="J108" s="162">
        <v>46418</v>
      </c>
      <c r="K108" s="163" t="s">
        <v>170</v>
      </c>
      <c r="L108" s="163"/>
      <c r="M108" s="163" t="s">
        <v>170</v>
      </c>
      <c r="N108" s="163"/>
      <c r="O108" s="163" t="s">
        <v>170</v>
      </c>
      <c r="P108" s="158" t="s">
        <v>250</v>
      </c>
    </row>
    <row r="109" spans="1:16" s="158" customFormat="1" ht="15.6" x14ac:dyDescent="0.3">
      <c r="A109" s="159" t="s">
        <v>339</v>
      </c>
      <c r="B109" s="160" t="s">
        <v>173</v>
      </c>
      <c r="C109" s="160" t="s">
        <v>190</v>
      </c>
      <c r="D109" s="160" t="s">
        <v>164</v>
      </c>
      <c r="E109" s="160" t="s">
        <v>165</v>
      </c>
      <c r="F109" s="160" t="s">
        <v>166</v>
      </c>
      <c r="G109" s="160" t="s">
        <v>167</v>
      </c>
      <c r="H109" s="161" t="s">
        <v>292</v>
      </c>
      <c r="I109" s="160" t="s">
        <v>169</v>
      </c>
      <c r="J109" s="162">
        <v>46873</v>
      </c>
      <c r="K109" s="163"/>
      <c r="L109" s="163"/>
      <c r="M109" s="163"/>
      <c r="N109" s="163" t="s">
        <v>170</v>
      </c>
      <c r="O109" s="163"/>
      <c r="P109" s="158" t="s">
        <v>171</v>
      </c>
    </row>
    <row r="110" spans="1:16" s="158" customFormat="1" ht="15.6" x14ac:dyDescent="0.3">
      <c r="A110" s="159" t="s">
        <v>317</v>
      </c>
      <c r="B110" s="160" t="s">
        <v>173</v>
      </c>
      <c r="C110" s="160" t="s">
        <v>196</v>
      </c>
      <c r="D110" s="160" t="s">
        <v>164</v>
      </c>
      <c r="E110" s="160" t="s">
        <v>165</v>
      </c>
      <c r="F110" s="160" t="s">
        <v>183</v>
      </c>
      <c r="G110" s="160" t="s">
        <v>167</v>
      </c>
      <c r="H110" s="165" t="s">
        <v>318</v>
      </c>
      <c r="I110" s="160" t="s">
        <v>169</v>
      </c>
      <c r="J110" s="162">
        <v>46477</v>
      </c>
      <c r="K110" s="163"/>
      <c r="L110" s="163"/>
      <c r="M110" s="163" t="s">
        <v>170</v>
      </c>
      <c r="N110" s="163"/>
      <c r="O110" s="163"/>
      <c r="P110" s="158" t="s">
        <v>171</v>
      </c>
    </row>
    <row r="111" spans="1:16" s="158" customFormat="1" ht="15.6" x14ac:dyDescent="0.3">
      <c r="A111" s="159" t="s">
        <v>315</v>
      </c>
      <c r="B111" s="160" t="s">
        <v>173</v>
      </c>
      <c r="C111" s="160" t="s">
        <v>196</v>
      </c>
      <c r="D111" s="160" t="s">
        <v>164</v>
      </c>
      <c r="E111" s="160" t="s">
        <v>165</v>
      </c>
      <c r="F111" s="160" t="s">
        <v>316</v>
      </c>
      <c r="G111" s="160" t="s">
        <v>167</v>
      </c>
      <c r="H111" s="161" t="s">
        <v>191</v>
      </c>
      <c r="I111" s="160" t="s">
        <v>169</v>
      </c>
      <c r="J111" s="162">
        <v>46477</v>
      </c>
      <c r="K111" s="163"/>
      <c r="L111" s="163"/>
      <c r="M111" s="163" t="s">
        <v>170</v>
      </c>
      <c r="N111" s="163"/>
      <c r="O111" s="163"/>
      <c r="P111" s="158" t="s">
        <v>171</v>
      </c>
    </row>
    <row r="112" spans="1:16" s="158" customFormat="1" ht="15.6" x14ac:dyDescent="0.3">
      <c r="A112" s="159" t="s">
        <v>201</v>
      </c>
      <c r="B112" s="160" t="s">
        <v>202</v>
      </c>
      <c r="C112" s="160" t="s">
        <v>203</v>
      </c>
      <c r="D112" s="160" t="s">
        <v>164</v>
      </c>
      <c r="E112" s="160" t="s">
        <v>165</v>
      </c>
      <c r="F112" s="160" t="s">
        <v>176</v>
      </c>
      <c r="G112" s="160" t="s">
        <v>167</v>
      </c>
      <c r="H112" s="161" t="s">
        <v>204</v>
      </c>
      <c r="I112" s="160" t="s">
        <v>169</v>
      </c>
      <c r="J112" s="387">
        <v>46326</v>
      </c>
      <c r="K112" s="163"/>
      <c r="L112" s="163" t="s">
        <v>170</v>
      </c>
      <c r="M112" s="163"/>
      <c r="N112" s="163"/>
      <c r="O112" s="163" t="s">
        <v>170</v>
      </c>
      <c r="P112" s="158" t="s">
        <v>171</v>
      </c>
    </row>
    <row r="113" spans="1:16" s="158" customFormat="1" ht="15.6" x14ac:dyDescent="0.3">
      <c r="A113" s="159" t="s">
        <v>180</v>
      </c>
      <c r="B113" s="160" t="s">
        <v>173</v>
      </c>
      <c r="C113" s="160" t="s">
        <v>174</v>
      </c>
      <c r="D113" s="160" t="s">
        <v>181</v>
      </c>
      <c r="E113" s="160" t="s">
        <v>165</v>
      </c>
      <c r="F113" s="160" t="s">
        <v>176</v>
      </c>
      <c r="G113" s="160" t="s">
        <v>167</v>
      </c>
      <c r="H113" s="161" t="s">
        <v>179</v>
      </c>
      <c r="I113" s="160" t="s">
        <v>169</v>
      </c>
      <c r="J113" s="202">
        <v>46904</v>
      </c>
      <c r="K113" s="163"/>
      <c r="L113" s="163"/>
      <c r="M113" s="163" t="s">
        <v>170</v>
      </c>
      <c r="N113" s="163"/>
      <c r="O113" s="163"/>
      <c r="P113" s="158" t="s">
        <v>171</v>
      </c>
    </row>
    <row r="114" spans="1:16" s="158" customFormat="1" ht="15.6" x14ac:dyDescent="0.3">
      <c r="A114" s="164" t="s">
        <v>342</v>
      </c>
      <c r="B114" s="160" t="s">
        <v>198</v>
      </c>
      <c r="C114" s="160" t="s">
        <v>275</v>
      </c>
      <c r="D114" s="160" t="s">
        <v>164</v>
      </c>
      <c r="E114" s="160" t="s">
        <v>165</v>
      </c>
      <c r="F114" s="160"/>
      <c r="G114" s="160" t="s">
        <v>167</v>
      </c>
      <c r="H114" s="161" t="s">
        <v>343</v>
      </c>
      <c r="I114" s="160" t="s">
        <v>248</v>
      </c>
      <c r="J114" s="160"/>
      <c r="K114" s="163"/>
      <c r="L114" s="163"/>
      <c r="M114" s="163" t="s">
        <v>170</v>
      </c>
      <c r="N114" s="163"/>
      <c r="O114" s="163"/>
      <c r="P114" s="158" t="s">
        <v>171</v>
      </c>
    </row>
    <row r="115" spans="1:16" s="158" customFormat="1" ht="15.6" x14ac:dyDescent="0.3">
      <c r="A115" s="159" t="s">
        <v>223</v>
      </c>
      <c r="B115" s="160" t="s">
        <v>162</v>
      </c>
      <c r="C115" s="160" t="s">
        <v>163</v>
      </c>
      <c r="D115" s="160" t="s">
        <v>164</v>
      </c>
      <c r="E115" s="160" t="s">
        <v>165</v>
      </c>
      <c r="F115" s="160" t="s">
        <v>183</v>
      </c>
      <c r="G115" s="160" t="s">
        <v>167</v>
      </c>
      <c r="H115" s="161" t="s">
        <v>222</v>
      </c>
      <c r="I115" s="160" t="s">
        <v>169</v>
      </c>
      <c r="J115" s="202">
        <v>46691</v>
      </c>
      <c r="K115" s="163" t="s">
        <v>170</v>
      </c>
      <c r="L115" s="163"/>
      <c r="M115" s="163" t="s">
        <v>170</v>
      </c>
      <c r="N115" s="163"/>
      <c r="O115" s="163"/>
      <c r="P115" s="158" t="s">
        <v>171</v>
      </c>
    </row>
    <row r="116" spans="1:16" s="158" customFormat="1" ht="15.6" x14ac:dyDescent="0.3">
      <c r="A116" s="2" t="s">
        <v>349</v>
      </c>
      <c r="B116" s="2" t="s">
        <v>162</v>
      </c>
      <c r="C116" s="2" t="s">
        <v>345</v>
      </c>
      <c r="D116" s="2" t="s">
        <v>175</v>
      </c>
      <c r="E116" s="2" t="s">
        <v>165</v>
      </c>
      <c r="F116" s="2"/>
      <c r="G116" s="2" t="s">
        <v>167</v>
      </c>
      <c r="H116" s="2"/>
      <c r="I116" s="2" t="s">
        <v>200</v>
      </c>
      <c r="J116" s="162">
        <v>46081</v>
      </c>
      <c r="K116" s="169"/>
      <c r="L116" s="163" t="s">
        <v>170</v>
      </c>
      <c r="M116" s="2"/>
      <c r="N116" s="2"/>
      <c r="O116" s="2"/>
      <c r="P116" s="2" t="s">
        <v>171</v>
      </c>
    </row>
    <row r="117" spans="1:16" s="158" customFormat="1" ht="15.6" x14ac:dyDescent="0.3">
      <c r="A117" s="159" t="s">
        <v>283</v>
      </c>
      <c r="B117" s="160" t="s">
        <v>162</v>
      </c>
      <c r="C117" s="160" t="s">
        <v>163</v>
      </c>
      <c r="D117" s="160" t="s">
        <v>175</v>
      </c>
      <c r="E117" s="160" t="s">
        <v>165</v>
      </c>
      <c r="F117" s="160" t="s">
        <v>166</v>
      </c>
      <c r="G117" s="160" t="s">
        <v>167</v>
      </c>
      <c r="H117" s="161" t="s">
        <v>282</v>
      </c>
      <c r="I117" s="160" t="s">
        <v>169</v>
      </c>
      <c r="J117" s="162">
        <v>46022</v>
      </c>
      <c r="K117" s="163" t="s">
        <v>170</v>
      </c>
      <c r="L117" s="163"/>
      <c r="M117" s="163"/>
      <c r="N117" s="163"/>
      <c r="O117" s="163"/>
      <c r="P117" s="158" t="s">
        <v>171</v>
      </c>
    </row>
    <row r="118" spans="1:16" s="158" customFormat="1" ht="15.6" x14ac:dyDescent="0.3">
      <c r="A118" s="159" t="s">
        <v>569</v>
      </c>
      <c r="B118" s="160" t="s">
        <v>162</v>
      </c>
      <c r="C118" s="160" t="s">
        <v>163</v>
      </c>
      <c r="D118" s="160" t="s">
        <v>175</v>
      </c>
      <c r="E118" s="160" t="s">
        <v>165</v>
      </c>
      <c r="F118" s="160" t="s">
        <v>166</v>
      </c>
      <c r="G118" s="160" t="s">
        <v>167</v>
      </c>
      <c r="H118" s="161" t="s">
        <v>282</v>
      </c>
      <c r="I118" s="160" t="s">
        <v>169</v>
      </c>
      <c r="J118" s="162">
        <v>46022</v>
      </c>
      <c r="K118" s="163" t="s">
        <v>170</v>
      </c>
      <c r="L118" s="163"/>
      <c r="M118" s="163"/>
      <c r="N118" s="163"/>
      <c r="O118" s="163"/>
      <c r="P118" s="158" t="s">
        <v>171</v>
      </c>
    </row>
    <row r="119" spans="1:16" s="158" customFormat="1" ht="15.6" x14ac:dyDescent="0.3">
      <c r="A119" s="159" t="s">
        <v>264</v>
      </c>
      <c r="B119" s="160" t="s">
        <v>162</v>
      </c>
      <c r="C119" s="160" t="s">
        <v>196</v>
      </c>
      <c r="D119" s="160" t="s">
        <v>164</v>
      </c>
      <c r="E119" s="160" t="s">
        <v>206</v>
      </c>
      <c r="F119" s="160" t="s">
        <v>183</v>
      </c>
      <c r="G119" s="160" t="s">
        <v>167</v>
      </c>
      <c r="H119" s="161" t="s">
        <v>231</v>
      </c>
      <c r="I119" s="160" t="s">
        <v>169</v>
      </c>
      <c r="J119" s="162"/>
      <c r="K119" s="163" t="s">
        <v>170</v>
      </c>
      <c r="L119" s="163"/>
      <c r="M119" s="163"/>
      <c r="N119" s="163" t="s">
        <v>170</v>
      </c>
      <c r="O119" s="163"/>
      <c r="P119" s="158" t="s">
        <v>229</v>
      </c>
    </row>
    <row r="120" spans="1:16" s="158" customFormat="1" ht="15.6" x14ac:dyDescent="0.3">
      <c r="A120" s="159" t="s">
        <v>276</v>
      </c>
      <c r="B120" s="160" t="s">
        <v>162</v>
      </c>
      <c r="C120" s="160" t="s">
        <v>196</v>
      </c>
      <c r="D120" s="160" t="s">
        <v>181</v>
      </c>
      <c r="E120" s="160" t="s">
        <v>165</v>
      </c>
      <c r="F120" s="160" t="s">
        <v>183</v>
      </c>
      <c r="G120" s="160" t="s">
        <v>167</v>
      </c>
      <c r="H120" s="161" t="s">
        <v>277</v>
      </c>
      <c r="I120" s="160" t="s">
        <v>169</v>
      </c>
      <c r="J120" s="162">
        <v>47026</v>
      </c>
      <c r="K120" s="163" t="s">
        <v>170</v>
      </c>
      <c r="L120" s="163"/>
      <c r="M120" s="163"/>
      <c r="N120" s="163" t="s">
        <v>170</v>
      </c>
      <c r="O120" s="163"/>
      <c r="P120" s="158" t="s">
        <v>229</v>
      </c>
    </row>
    <row r="121" spans="1:16" s="158" customFormat="1" ht="15.6" x14ac:dyDescent="0.3">
      <c r="A121" s="159" t="s">
        <v>195</v>
      </c>
      <c r="B121" s="160" t="s">
        <v>162</v>
      </c>
      <c r="C121" s="160" t="s">
        <v>196</v>
      </c>
      <c r="D121" s="160" t="s">
        <v>181</v>
      </c>
      <c r="E121" s="160" t="s">
        <v>165</v>
      </c>
      <c r="F121" s="160" t="s">
        <v>166</v>
      </c>
      <c r="G121" s="160" t="s">
        <v>167</v>
      </c>
      <c r="H121" s="161" t="s">
        <v>184</v>
      </c>
      <c r="I121" s="160" t="s">
        <v>169</v>
      </c>
      <c r="J121" s="202">
        <v>47087</v>
      </c>
      <c r="K121" s="163"/>
      <c r="L121" s="163"/>
      <c r="M121" s="163"/>
      <c r="N121" s="163" t="s">
        <v>170</v>
      </c>
      <c r="O121" s="163"/>
      <c r="P121" s="158" t="s">
        <v>171</v>
      </c>
    </row>
    <row r="122" spans="1:16" s="158" customFormat="1" ht="15.6" x14ac:dyDescent="0.3">
      <c r="A122" s="159" t="s">
        <v>289</v>
      </c>
      <c r="B122" s="160" t="s">
        <v>162</v>
      </c>
      <c r="C122" s="160" t="s">
        <v>228</v>
      </c>
      <c r="D122" s="160" t="s">
        <v>181</v>
      </c>
      <c r="E122" s="160" t="s">
        <v>165</v>
      </c>
      <c r="F122" s="160" t="s">
        <v>166</v>
      </c>
      <c r="G122" s="160" t="s">
        <v>167</v>
      </c>
      <c r="H122" s="161" t="s">
        <v>287</v>
      </c>
      <c r="I122" s="160" t="s">
        <v>169</v>
      </c>
      <c r="J122" s="387">
        <v>46142</v>
      </c>
      <c r="K122" s="163"/>
      <c r="L122" s="163" t="s">
        <v>170</v>
      </c>
      <c r="M122" s="163"/>
      <c r="N122" s="163"/>
      <c r="O122" s="163"/>
      <c r="P122" s="158" t="s">
        <v>171</v>
      </c>
    </row>
    <row r="123" spans="1:16" s="158" customFormat="1" ht="15.6" x14ac:dyDescent="0.3">
      <c r="A123" s="159" t="s">
        <v>230</v>
      </c>
      <c r="B123" s="160" t="s">
        <v>162</v>
      </c>
      <c r="C123" s="160" t="s">
        <v>228</v>
      </c>
      <c r="D123" s="160" t="s">
        <v>164</v>
      </c>
      <c r="E123" s="160" t="s">
        <v>206</v>
      </c>
      <c r="F123" s="160" t="s">
        <v>208</v>
      </c>
      <c r="G123" s="160" t="s">
        <v>167</v>
      </c>
      <c r="H123" s="161" t="s">
        <v>231</v>
      </c>
      <c r="I123" s="160" t="s">
        <v>169</v>
      </c>
      <c r="J123" s="387">
        <v>46387</v>
      </c>
      <c r="K123" s="163"/>
      <c r="L123" s="163" t="s">
        <v>170</v>
      </c>
      <c r="M123" s="163"/>
      <c r="N123" s="163"/>
      <c r="O123" s="163" t="s">
        <v>170</v>
      </c>
      <c r="P123" s="158" t="s">
        <v>229</v>
      </c>
    </row>
    <row r="124" spans="1:16" s="158" customFormat="1" ht="15.6" x14ac:dyDescent="0.3">
      <c r="A124" s="159" t="s">
        <v>161</v>
      </c>
      <c r="B124" s="160" t="s">
        <v>162</v>
      </c>
      <c r="C124" s="160" t="s">
        <v>163</v>
      </c>
      <c r="D124" s="160" t="s">
        <v>164</v>
      </c>
      <c r="E124" s="160" t="s">
        <v>165</v>
      </c>
      <c r="F124" s="160" t="s">
        <v>166</v>
      </c>
      <c r="G124" s="160" t="s">
        <v>167</v>
      </c>
      <c r="H124" s="161" t="s">
        <v>168</v>
      </c>
      <c r="I124" s="160" t="s">
        <v>169</v>
      </c>
      <c r="J124" s="202">
        <v>46477</v>
      </c>
      <c r="K124" s="163"/>
      <c r="L124" s="163"/>
      <c r="M124" s="163" t="s">
        <v>170</v>
      </c>
      <c r="N124" s="163"/>
      <c r="O124" s="163"/>
      <c r="P124" s="158" t="s">
        <v>171</v>
      </c>
    </row>
    <row r="125" spans="1:16" s="158" customFormat="1" ht="15.6" x14ac:dyDescent="0.3">
      <c r="A125" s="159" t="s">
        <v>224</v>
      </c>
      <c r="B125" s="160" t="s">
        <v>173</v>
      </c>
      <c r="C125" s="160" t="s">
        <v>190</v>
      </c>
      <c r="D125" s="160" t="s">
        <v>164</v>
      </c>
      <c r="E125" s="160" t="s">
        <v>165</v>
      </c>
      <c r="F125" s="160" t="s">
        <v>183</v>
      </c>
      <c r="G125" s="160" t="s">
        <v>167</v>
      </c>
      <c r="H125" s="161" t="s">
        <v>222</v>
      </c>
      <c r="I125" s="160" t="s">
        <v>169</v>
      </c>
      <c r="J125" s="202">
        <v>46691</v>
      </c>
      <c r="K125" s="163" t="s">
        <v>170</v>
      </c>
      <c r="L125" s="163"/>
      <c r="M125" s="163" t="s">
        <v>170</v>
      </c>
      <c r="N125" s="163"/>
      <c r="O125" s="163"/>
      <c r="P125" s="158" t="s">
        <v>171</v>
      </c>
    </row>
    <row r="126" spans="1:16" s="158" customFormat="1" ht="15.6" x14ac:dyDescent="0.3">
      <c r="A126" s="159" t="s">
        <v>270</v>
      </c>
      <c r="B126" s="160" t="s">
        <v>173</v>
      </c>
      <c r="C126" s="160" t="s">
        <v>239</v>
      </c>
      <c r="D126" s="160" t="s">
        <v>175</v>
      </c>
      <c r="E126" s="160" t="s">
        <v>165</v>
      </c>
      <c r="F126" s="160" t="s">
        <v>176</v>
      </c>
      <c r="G126" s="160" t="s">
        <v>167</v>
      </c>
      <c r="H126" s="161" t="s">
        <v>271</v>
      </c>
      <c r="I126" s="160" t="s">
        <v>169</v>
      </c>
      <c r="J126" s="162"/>
      <c r="K126" s="163" t="s">
        <v>170</v>
      </c>
      <c r="L126" s="163"/>
      <c r="M126" s="163"/>
      <c r="N126" s="163"/>
      <c r="O126" s="163"/>
      <c r="P126" s="158" t="s">
        <v>171</v>
      </c>
    </row>
    <row r="127" spans="1:16" s="158" customFormat="1" ht="15.6" x14ac:dyDescent="0.3">
      <c r="A127" s="159" t="s">
        <v>299</v>
      </c>
      <c r="B127" s="160" t="s">
        <v>162</v>
      </c>
      <c r="C127" s="160" t="s">
        <v>239</v>
      </c>
      <c r="D127" s="160" t="s">
        <v>175</v>
      </c>
      <c r="E127" s="160" t="s">
        <v>206</v>
      </c>
      <c r="F127" s="160" t="s">
        <v>183</v>
      </c>
      <c r="G127" s="160" t="s">
        <v>167</v>
      </c>
      <c r="H127" s="161" t="s">
        <v>227</v>
      </c>
      <c r="I127" s="160" t="s">
        <v>169</v>
      </c>
      <c r="J127" s="387">
        <v>46173</v>
      </c>
      <c r="K127" s="163"/>
      <c r="L127" s="163" t="s">
        <v>170</v>
      </c>
      <c r="M127" s="163"/>
      <c r="N127" s="163"/>
      <c r="O127" s="163" t="s">
        <v>170</v>
      </c>
      <c r="P127" s="158" t="s">
        <v>229</v>
      </c>
    </row>
    <row r="128" spans="1:16" s="158" customFormat="1" ht="15.6" x14ac:dyDescent="0.3">
      <c r="A128" s="159" t="s">
        <v>205</v>
      </c>
      <c r="B128" s="160" t="s">
        <v>173</v>
      </c>
      <c r="C128" s="160" t="s">
        <v>196</v>
      </c>
      <c r="D128" s="160" t="s">
        <v>164</v>
      </c>
      <c r="E128" s="160" t="s">
        <v>206</v>
      </c>
      <c r="F128" s="160" t="s">
        <v>183</v>
      </c>
      <c r="G128" s="160" t="s">
        <v>167</v>
      </c>
      <c r="H128" s="161" t="s">
        <v>207</v>
      </c>
      <c r="I128" s="160" t="s">
        <v>169</v>
      </c>
      <c r="J128" s="202">
        <v>46996</v>
      </c>
      <c r="K128" s="163" t="s">
        <v>170</v>
      </c>
      <c r="L128" s="163"/>
      <c r="M128" s="163"/>
      <c r="N128" s="163" t="s">
        <v>170</v>
      </c>
      <c r="O128" s="163"/>
      <c r="P128" s="158" t="s">
        <v>171</v>
      </c>
    </row>
    <row r="129" spans="1:16" s="158" customFormat="1" ht="15.6" x14ac:dyDescent="0.3">
      <c r="A129" s="158" t="s">
        <v>545</v>
      </c>
      <c r="D129" s="158" t="s">
        <v>164</v>
      </c>
      <c r="E129" s="158" t="s">
        <v>165</v>
      </c>
      <c r="G129" s="160" t="s">
        <v>437</v>
      </c>
      <c r="I129" s="158" t="s">
        <v>559</v>
      </c>
      <c r="J129" s="381"/>
      <c r="K129" s="163"/>
      <c r="L129" s="163"/>
      <c r="M129" s="163"/>
      <c r="N129" s="163" t="s">
        <v>170</v>
      </c>
      <c r="O129" s="163"/>
      <c r="P129" s="158" t="s">
        <v>556</v>
      </c>
    </row>
    <row r="130" spans="1:16" s="158" customFormat="1" ht="15.6" x14ac:dyDescent="0.3">
      <c r="A130" s="159" t="s">
        <v>172</v>
      </c>
      <c r="B130" s="160" t="s">
        <v>173</v>
      </c>
      <c r="C130" s="160" t="s">
        <v>174</v>
      </c>
      <c r="D130" s="160" t="s">
        <v>175</v>
      </c>
      <c r="E130" s="160" t="s">
        <v>165</v>
      </c>
      <c r="F130" s="160" t="s">
        <v>176</v>
      </c>
      <c r="G130" s="160" t="s">
        <v>167</v>
      </c>
      <c r="H130" s="161" t="s">
        <v>177</v>
      </c>
      <c r="I130" s="160" t="s">
        <v>169</v>
      </c>
      <c r="J130" s="202">
        <v>46904</v>
      </c>
      <c r="K130" s="163"/>
      <c r="L130" s="163"/>
      <c r="M130" s="163" t="s">
        <v>170</v>
      </c>
      <c r="N130" s="163"/>
      <c r="O130" s="163"/>
      <c r="P130" s="158" t="s">
        <v>171</v>
      </c>
    </row>
    <row r="131" spans="1:16" s="158" customFormat="1" ht="15.6" x14ac:dyDescent="0.3">
      <c r="A131" s="159" t="s">
        <v>194</v>
      </c>
      <c r="B131" s="160" t="s">
        <v>173</v>
      </c>
      <c r="C131" s="160" t="s">
        <v>190</v>
      </c>
      <c r="D131" s="160" t="s">
        <v>164</v>
      </c>
      <c r="E131" s="160" t="s">
        <v>165</v>
      </c>
      <c r="F131" s="160" t="s">
        <v>176</v>
      </c>
      <c r="G131" s="160" t="s">
        <v>167</v>
      </c>
      <c r="H131" s="161" t="s">
        <v>193</v>
      </c>
      <c r="I131" s="160" t="s">
        <v>169</v>
      </c>
      <c r="J131" s="202">
        <v>46598</v>
      </c>
      <c r="K131" s="163"/>
      <c r="L131" s="163"/>
      <c r="M131" s="163"/>
      <c r="N131" s="163"/>
      <c r="O131" s="163" t="s">
        <v>170</v>
      </c>
      <c r="P131" s="158" t="s">
        <v>171</v>
      </c>
    </row>
    <row r="132" spans="1:16" s="158" customFormat="1" ht="15.6" x14ac:dyDescent="0.3">
      <c r="A132" s="159" t="s">
        <v>325</v>
      </c>
      <c r="B132" s="160" t="s">
        <v>297</v>
      </c>
      <c r="C132" s="160" t="s">
        <v>228</v>
      </c>
      <c r="D132" s="160" t="s">
        <v>175</v>
      </c>
      <c r="E132" s="160" t="s">
        <v>165</v>
      </c>
      <c r="F132" s="160" t="s">
        <v>183</v>
      </c>
      <c r="G132" s="160" t="s">
        <v>167</v>
      </c>
      <c r="H132" s="161" t="s">
        <v>301</v>
      </c>
      <c r="I132" s="160" t="s">
        <v>169</v>
      </c>
      <c r="J132" s="162">
        <v>46568</v>
      </c>
      <c r="K132" s="163"/>
      <c r="L132" s="163"/>
      <c r="M132" s="163" t="s">
        <v>170</v>
      </c>
      <c r="N132" s="163"/>
      <c r="O132" s="163"/>
      <c r="P132" s="158" t="s">
        <v>171</v>
      </c>
    </row>
    <row r="133" spans="1:16" s="158" customFormat="1" ht="15.6" x14ac:dyDescent="0.3">
      <c r="A133" s="159" t="s">
        <v>338</v>
      </c>
      <c r="B133" s="160" t="s">
        <v>202</v>
      </c>
      <c r="C133" s="160" t="s">
        <v>163</v>
      </c>
      <c r="D133" s="160" t="s">
        <v>164</v>
      </c>
      <c r="E133" s="160" t="s">
        <v>165</v>
      </c>
      <c r="F133" s="160" t="s">
        <v>176</v>
      </c>
      <c r="G133" s="160" t="s">
        <v>167</v>
      </c>
      <c r="H133" s="161" t="s">
        <v>241</v>
      </c>
      <c r="I133" s="160" t="s">
        <v>169</v>
      </c>
      <c r="J133" s="162">
        <v>46812</v>
      </c>
      <c r="K133" s="163"/>
      <c r="L133" s="163"/>
      <c r="M133" s="163"/>
      <c r="N133" s="163" t="s">
        <v>170</v>
      </c>
      <c r="O133" s="163"/>
      <c r="P133" s="158" t="s">
        <v>171</v>
      </c>
    </row>
    <row r="134" spans="1:16" s="158" customFormat="1" ht="15.6" x14ac:dyDescent="0.3">
      <c r="A134" s="159" t="s">
        <v>328</v>
      </c>
      <c r="B134" s="160" t="s">
        <v>273</v>
      </c>
      <c r="C134" s="160" t="s">
        <v>274</v>
      </c>
      <c r="D134" s="160" t="s">
        <v>164</v>
      </c>
      <c r="E134" s="160" t="s">
        <v>165</v>
      </c>
      <c r="F134" s="160"/>
      <c r="G134" s="160" t="s">
        <v>167</v>
      </c>
      <c r="H134" s="161" t="s">
        <v>329</v>
      </c>
      <c r="I134" s="160" t="s">
        <v>216</v>
      </c>
      <c r="J134" s="162">
        <v>46630</v>
      </c>
      <c r="K134" s="163"/>
      <c r="L134" s="163"/>
      <c r="M134" s="163" t="s">
        <v>170</v>
      </c>
      <c r="N134" s="163"/>
      <c r="O134" s="163"/>
      <c r="P134" s="158" t="s">
        <v>171</v>
      </c>
    </row>
    <row r="135" spans="1:16" s="158" customFormat="1" ht="15.6" x14ac:dyDescent="0.3">
      <c r="A135" s="159" t="s">
        <v>312</v>
      </c>
      <c r="B135" s="160" t="s">
        <v>255</v>
      </c>
      <c r="C135" s="160" t="s">
        <v>313</v>
      </c>
      <c r="D135" s="160" t="s">
        <v>164</v>
      </c>
      <c r="E135" s="160" t="s">
        <v>165</v>
      </c>
      <c r="F135" s="160" t="s">
        <v>183</v>
      </c>
      <c r="G135" s="160" t="s">
        <v>167</v>
      </c>
      <c r="H135" s="161" t="s">
        <v>184</v>
      </c>
      <c r="I135" s="160" t="s">
        <v>169</v>
      </c>
      <c r="J135" s="387">
        <v>46326</v>
      </c>
      <c r="K135" s="163"/>
      <c r="L135" s="163" t="s">
        <v>170</v>
      </c>
      <c r="M135" s="163"/>
      <c r="N135" s="163"/>
      <c r="O135" s="163" t="s">
        <v>170</v>
      </c>
      <c r="P135" s="158" t="s">
        <v>229</v>
      </c>
    </row>
    <row r="136" spans="1:16" s="158" customFormat="1" ht="15.6" x14ac:dyDescent="0.3">
      <c r="A136" s="159" t="s">
        <v>306</v>
      </c>
      <c r="B136" s="160" t="s">
        <v>297</v>
      </c>
      <c r="C136" s="160" t="s">
        <v>307</v>
      </c>
      <c r="D136" s="160" t="s">
        <v>164</v>
      </c>
      <c r="E136" s="160" t="s">
        <v>165</v>
      </c>
      <c r="F136" s="160" t="s">
        <v>183</v>
      </c>
      <c r="G136" s="160" t="s">
        <v>167</v>
      </c>
      <c r="H136" s="161" t="s">
        <v>305</v>
      </c>
      <c r="I136" s="160" t="s">
        <v>169</v>
      </c>
      <c r="J136" s="387">
        <v>46234</v>
      </c>
      <c r="K136" s="163"/>
      <c r="L136" s="163" t="s">
        <v>170</v>
      </c>
      <c r="M136" s="163"/>
      <c r="N136" s="163"/>
      <c r="O136" s="163" t="s">
        <v>170</v>
      </c>
      <c r="P136" s="158" t="s">
        <v>229</v>
      </c>
    </row>
    <row r="137" spans="1:16" s="158" customFormat="1" ht="15.6" x14ac:dyDescent="0.3">
      <c r="A137" s="159" t="s">
        <v>272</v>
      </c>
      <c r="B137" s="160" t="s">
        <v>273</v>
      </c>
      <c r="C137" s="160" t="s">
        <v>274</v>
      </c>
      <c r="D137" s="160" t="s">
        <v>164</v>
      </c>
      <c r="E137" s="160" t="s">
        <v>165</v>
      </c>
      <c r="F137" s="160"/>
      <c r="G137" s="160" t="s">
        <v>167</v>
      </c>
      <c r="H137" s="161" t="s">
        <v>271</v>
      </c>
      <c r="I137" s="160" t="s">
        <v>216</v>
      </c>
      <c r="J137" s="162">
        <v>46599</v>
      </c>
      <c r="K137" s="163" t="s">
        <v>170</v>
      </c>
      <c r="L137" s="163"/>
      <c r="M137" s="163"/>
      <c r="N137" s="163"/>
      <c r="O137" s="163"/>
      <c r="P137" s="158" t="s">
        <v>171</v>
      </c>
    </row>
    <row r="138" spans="1:16" s="158" customFormat="1" ht="15.6" x14ac:dyDescent="0.3">
      <c r="A138" s="159" t="s">
        <v>294</v>
      </c>
      <c r="B138" s="160" t="s">
        <v>173</v>
      </c>
      <c r="C138" s="160" t="s">
        <v>190</v>
      </c>
      <c r="D138" s="160" t="s">
        <v>164</v>
      </c>
      <c r="E138" s="160" t="s">
        <v>165</v>
      </c>
      <c r="F138" s="160" t="s">
        <v>176</v>
      </c>
      <c r="G138" s="160" t="s">
        <v>167</v>
      </c>
      <c r="H138" s="161" t="s">
        <v>177</v>
      </c>
      <c r="I138" s="160" t="s">
        <v>169</v>
      </c>
      <c r="J138" s="387">
        <v>46142</v>
      </c>
      <c r="K138" s="163"/>
      <c r="L138" s="163" t="s">
        <v>170</v>
      </c>
      <c r="M138" s="163"/>
      <c r="N138" s="163"/>
      <c r="O138" s="163"/>
      <c r="P138" s="158" t="s">
        <v>171</v>
      </c>
    </row>
    <row r="139" spans="1:16" s="158" customFormat="1" ht="15.6" x14ac:dyDescent="0.3">
      <c r="A139" s="159" t="s">
        <v>295</v>
      </c>
      <c r="B139" s="160" t="s">
        <v>173</v>
      </c>
      <c r="C139" s="160" t="s">
        <v>190</v>
      </c>
      <c r="D139" s="160" t="s">
        <v>164</v>
      </c>
      <c r="E139" s="160" t="s">
        <v>165</v>
      </c>
      <c r="F139" s="160" t="s">
        <v>166</v>
      </c>
      <c r="G139" s="160" t="s">
        <v>167</v>
      </c>
      <c r="H139" s="161" t="s">
        <v>177</v>
      </c>
      <c r="I139" s="160" t="s">
        <v>169</v>
      </c>
      <c r="J139" s="387">
        <v>46142</v>
      </c>
      <c r="K139" s="163"/>
      <c r="L139" s="163" t="s">
        <v>170</v>
      </c>
      <c r="M139" s="163"/>
      <c r="N139" s="163"/>
      <c r="O139" s="163"/>
      <c r="P139" s="158" t="s">
        <v>171</v>
      </c>
    </row>
    <row r="140" spans="1:16" s="2" customFormat="1" ht="15.6" x14ac:dyDescent="0.3">
      <c r="A140" s="159" t="s">
        <v>344</v>
      </c>
      <c r="B140" s="160" t="s">
        <v>173</v>
      </c>
      <c r="C140" s="160" t="s">
        <v>345</v>
      </c>
      <c r="D140" s="160" t="s">
        <v>175</v>
      </c>
      <c r="E140" s="160" t="s">
        <v>165</v>
      </c>
      <c r="F140" s="160"/>
      <c r="G140" s="160" t="s">
        <v>167</v>
      </c>
      <c r="H140" s="161" t="s">
        <v>218</v>
      </c>
      <c r="I140" s="160" t="s">
        <v>561</v>
      </c>
      <c r="J140" s="160"/>
      <c r="K140" s="163"/>
      <c r="L140" s="163"/>
      <c r="M140" s="163"/>
      <c r="N140" s="163"/>
      <c r="O140" s="163" t="s">
        <v>170</v>
      </c>
      <c r="P140" s="158" t="s">
        <v>560</v>
      </c>
    </row>
  </sheetData>
  <autoFilter ref="A30:P140" xr:uid="{D472EF45-67B8-4E70-B475-E90CA4F5FD94}">
    <sortState xmlns:xlrd2="http://schemas.microsoft.com/office/spreadsheetml/2017/richdata2" ref="A31:P140">
      <sortCondition ref="A30:A140"/>
    </sortState>
  </autoFilter>
  <hyperlinks>
    <hyperlink ref="A106" r:id="rId1" xr:uid="{F6F944C6-B8B2-40D5-8DAB-C96D8363DB41}"/>
    <hyperlink ref="A31" r:id="rId2" xr:uid="{B8E42EA1-EFE4-4592-A91C-E7F65FA18311}"/>
    <hyperlink ref="A135" r:id="rId3" xr:uid="{700F21A1-33E9-4627-A116-934F933ABC9A}"/>
    <hyperlink ref="A37" r:id="rId4" xr:uid="{6C346051-0CF6-4B59-88D9-74CE301CF274}"/>
    <hyperlink ref="A35" r:id="rId5" xr:uid="{91A72B7A-CD54-4FAE-8934-D97E5956B79C}"/>
    <hyperlink ref="A90" r:id="rId6" xr:uid="{549F3310-6400-42A4-A7D0-B1071812354E}"/>
    <hyperlink ref="A124" r:id="rId7" xr:uid="{FBB74889-7F0C-4439-9044-CBA03AC63D49}"/>
    <hyperlink ref="A43" r:id="rId8" xr:uid="{0F82F148-4117-445B-9CFA-77B327BBB1C6}"/>
    <hyperlink ref="A130" r:id="rId9" xr:uid="{2358307D-7A26-4007-9AB9-F71FF1945046}"/>
    <hyperlink ref="A58" r:id="rId10" xr:uid="{733C8C91-D892-4094-A62A-E991ED8343B4}"/>
    <hyperlink ref="A113" r:id="rId11" xr:uid="{478DD134-4B11-4ABA-94AD-4BEB41854F2C}"/>
    <hyperlink ref="A38" r:id="rId12" xr:uid="{74C35DE2-DBDD-497A-9F5C-8F7AC9BE8351}"/>
    <hyperlink ref="A82" r:id="rId13" xr:uid="{821FBC31-F0EC-489A-ACE4-E00A0E8A004B}"/>
    <hyperlink ref="A85" r:id="rId14" xr:uid="{FEA6D917-1ADA-408C-9BF6-78D3E8171173}"/>
    <hyperlink ref="A92" r:id="rId15" xr:uid="{A4A2AECA-C724-4403-9941-832BDAF27B30}"/>
    <hyperlink ref="A65" r:id="rId16" xr:uid="{E580B0F2-13B8-4A6C-9C73-C6D16F701ABE}"/>
    <hyperlink ref="A79" r:id="rId17" xr:uid="{D08B68D7-1655-455A-AFF1-D508DCF16B88}"/>
    <hyperlink ref="A131" r:id="rId18" xr:uid="{D66392EB-59B5-457E-834E-9442C9658B80}"/>
    <hyperlink ref="A121" r:id="rId19" xr:uid="{CBA01A36-E3B4-4C17-A493-085E1DE009CB}"/>
    <hyperlink ref="A93" r:id="rId20" xr:uid="{83459A74-5A20-4193-BF6A-F6FE3AC08D5D}"/>
    <hyperlink ref="A112" r:id="rId21" xr:uid="{EE6CD477-C0A1-4C95-87F4-804B21A5767C}"/>
    <hyperlink ref="A128" r:id="rId22" xr:uid="{F23401F7-A301-4B7B-B366-7BFB2F0846CD}"/>
    <hyperlink ref="A104" r:id="rId23" xr:uid="{5C74A0FE-41E9-4462-AF49-409DDC095C41}"/>
    <hyperlink ref="A68" r:id="rId24" xr:uid="{A033CFA0-CF6C-4FBF-9150-9876CAA474A5}"/>
    <hyperlink ref="A70" r:id="rId25" xr:uid="{A6D5E2E8-8A52-4410-872F-565C45512202}"/>
    <hyperlink ref="A51" r:id="rId26" xr:uid="{4274B126-5EBD-4D58-AA2A-32A10CF4DFB1}"/>
    <hyperlink ref="A115" r:id="rId27" xr:uid="{9F6185A5-CF5F-450E-A2F0-D23A62D8E26C}"/>
    <hyperlink ref="A125" r:id="rId28" xr:uid="{D268B162-E7CF-4FEB-B8C7-B9CB60156C4B}"/>
    <hyperlink ref="A71" r:id="rId29" display="Ductless Heat Pumps for Zonal Heat SF" xr:uid="{D7B1EC03-F7D8-4B67-8E22-A1233AA8D04B}"/>
    <hyperlink ref="A105" r:id="rId30" xr:uid="{14FB4632-A7AE-4F3F-832D-32B14102DC2A}"/>
    <hyperlink ref="A123" r:id="rId31" xr:uid="{E2CE353D-42AB-4B16-B612-09CFB9CD41E2}"/>
    <hyperlink ref="A107" r:id="rId32" xr:uid="{E41678DE-782F-4823-A5A4-48D589331A4F}"/>
    <hyperlink ref="A66" r:id="rId33" display="MH Duct Sealing" xr:uid="{5B0E15E6-1D1D-4EFE-B10C-EFA05D446668}"/>
    <hyperlink ref="A64" r:id="rId34" xr:uid="{E9B4530F-7B6A-48F4-A965-60D79013591C}"/>
    <hyperlink ref="A108" r:id="rId35" xr:uid="{684BD8B8-6B82-40AB-855E-484C88624E06}"/>
    <hyperlink ref="A56" r:id="rId36" xr:uid="{C4E4CF08-917E-42E8-ADCE-086EE7ACC5BF}"/>
    <hyperlink ref="A39" r:id="rId37" xr:uid="{AAC86BE4-BF76-48BB-85E1-71F792A47EE6}"/>
    <hyperlink ref="A50" r:id="rId38" xr:uid="{60A035B6-39B1-48BF-9BC4-5F44325354EF}"/>
    <hyperlink ref="A95" r:id="rId39" xr:uid="{6A33687C-49B4-40A2-A951-F693DDBD9969}"/>
    <hyperlink ref="A76" r:id="rId40" display="Commercial Refrigerators/Freezers" xr:uid="{3F98943C-462F-471D-BD2F-25BF1F7D1D4E}"/>
    <hyperlink ref="A119" r:id="rId41" xr:uid="{4DED7201-427F-46C3-A299-ADA3ECD5508A}"/>
    <hyperlink ref="A67" r:id="rId42" xr:uid="{FD19C6C6-79F0-4B48-9C26-BE615B08ABF6}"/>
    <hyperlink ref="A32" r:id="rId43" xr:uid="{A626E1CF-47F4-4199-A326-65F634575078}"/>
    <hyperlink ref="A77" r:id="rId44" xr:uid="{C5F05134-C688-4C7E-8CFF-251157B951CC}"/>
    <hyperlink ref="A126" r:id="rId45" xr:uid="{1118918B-FFAF-4070-ADED-FB1708833E60}"/>
    <hyperlink ref="A137" r:id="rId46" xr:uid="{85BDF369-21F2-4BEE-A3EB-32F1A8753073}"/>
    <hyperlink ref="A120" r:id="rId47" xr:uid="{31C2F2EA-9BDD-43A1-BE5F-D47B71BE2EF7}"/>
    <hyperlink ref="A41" r:id="rId48" xr:uid="{158C9B35-6719-4E89-958E-F75BB335EC5A}"/>
    <hyperlink ref="A40" r:id="rId49" xr:uid="{E4F691A2-4AC7-4709-9091-4C903E60BF2F}"/>
    <hyperlink ref="A118" r:id="rId50" display="Clothes Dryers - SF, MH, and MF in-unit" xr:uid="{CE577C8D-7551-4284-AFD6-443D4E9C00B3}"/>
    <hyperlink ref="A117" r:id="rId51" xr:uid="{C680139C-2F97-47F3-953C-1284C4419359}"/>
    <hyperlink ref="A42" r:id="rId52" xr:uid="{264506B8-9EA4-4FA3-9394-FF9026E7589D}"/>
    <hyperlink ref="A94" r:id="rId53" xr:uid="{42226A1F-D258-4AFF-BBE5-0AB26F86A9CE}"/>
    <hyperlink ref="A54" r:id="rId54" xr:uid="{1414BB80-55B3-462A-9673-D688F7383493}"/>
    <hyperlink ref="A61" r:id="rId55" xr:uid="{0414658E-B493-428A-BF0C-B0BFAFAEDAF4}"/>
    <hyperlink ref="A122" r:id="rId56" xr:uid="{24C872D1-5413-4E16-B6B2-EBE6A5E0CE4C}"/>
    <hyperlink ref="A73" r:id="rId57" xr:uid="{C871A027-CCB8-403D-9ED1-06EC38173C34}"/>
    <hyperlink ref="A138" r:id="rId58" xr:uid="{C1EA9512-EF78-4702-8367-5DEE12724209}"/>
    <hyperlink ref="A139" r:id="rId59" xr:uid="{79B47F8F-E971-435E-932A-6ABFD1412768}"/>
    <hyperlink ref="A100" r:id="rId60" xr:uid="{7178004C-3491-4925-AEF4-D385CF183BC2}"/>
    <hyperlink ref="A102" r:id="rId61" xr:uid="{27C49082-14F2-4D67-B5C0-C18D26BB3B2E}"/>
    <hyperlink ref="A127" r:id="rId62" xr:uid="{BD47829B-D336-466B-A927-88644CAE8B82}"/>
    <hyperlink ref="A103" r:id="rId63" xr:uid="{95860F91-6874-40D3-B362-6E9ABF900A26}"/>
    <hyperlink ref="A81" r:id="rId64" xr:uid="{1002043B-894E-4C57-A4EB-AA3B27AC0898}"/>
    <hyperlink ref="A136" r:id="rId65" xr:uid="{5D78C748-A0EC-4FA3-8B92-57676934480C}"/>
    <hyperlink ref="A111" r:id="rId66" xr:uid="{3B7CF2B6-EFA8-49E3-A854-CD9AF172CE12}"/>
    <hyperlink ref="A53" r:id="rId67" xr:uid="{20149D6B-7EBB-4366-A580-97EC4AFA0320}"/>
    <hyperlink ref="A96" r:id="rId68" xr:uid="{B9222DD7-2242-4EFF-9702-6168FBAFD5AA}"/>
    <hyperlink ref="A101" r:id="rId69" xr:uid="{E29013FD-2B84-4074-9AC5-892DB737BD85}"/>
    <hyperlink ref="A132" r:id="rId70" xr:uid="{0EB20DDD-B8F3-4E6D-A9BE-3BBD2103AE35}"/>
    <hyperlink ref="A59" r:id="rId71" xr:uid="{6168C95C-3636-445D-AD2F-B6E0E3B3F5D6}"/>
    <hyperlink ref="A134" r:id="rId72" xr:uid="{05358B0B-2D1C-4649-849F-6859A1A34D0C}"/>
    <hyperlink ref="A80" r:id="rId73" xr:uid="{E45D9222-BF93-4A5C-BC07-C806DDB55753}"/>
    <hyperlink ref="A83" r:id="rId74" xr:uid="{64E703F8-A5D2-4A58-851C-C1E0358BC34C}"/>
    <hyperlink ref="A78" r:id="rId75" xr:uid="{67EF0E4E-D310-4FC3-AEFE-373C965C5F6C}"/>
    <hyperlink ref="A133" r:id="rId76" xr:uid="{89BEAE6F-6DB6-497D-9914-09038716D78B}"/>
    <hyperlink ref="A109" r:id="rId77" xr:uid="{3AE5BB0E-7273-42DC-8B5D-28E341D5229C}"/>
    <hyperlink ref="A62" r:id="rId78" xr:uid="{BF7F3DBA-0755-40EB-9269-C81AD13B05E9}"/>
    <hyperlink ref="A97" r:id="rId79" xr:uid="{D3DF44D8-7B0D-4704-B573-3DD2D356CCA9}"/>
    <hyperlink ref="A114" r:id="rId80" xr:uid="{A94DC555-F5DD-4960-B562-C7CCF8991C18}"/>
    <hyperlink ref="A110" r:id="rId81" xr:uid="{34F4DC8F-7BB5-4F60-85ED-8763C7C87B1C}"/>
    <hyperlink ref="A140" r:id="rId82" xr:uid="{C703B84A-ED3B-45F6-8E50-B5C70191E454}"/>
    <hyperlink ref="A57" r:id="rId83" display="https://rtf.nwcouncil.org/measure/commercial-heat-pump-water-heaters/" xr:uid="{B67D8E6B-A79C-4C6A-9AF4-E5D93F362916}"/>
  </hyperlinks>
  <pageMargins left="0.7" right="0.7" top="0.75" bottom="0.75" header="0.3" footer="0.3"/>
  <legacyDrawing r:id="rId84"/>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C70909-0587-4B7D-844A-0D55670271C2}">
  <sheetPr codeName="Sheet11"/>
  <dimension ref="A1:U63"/>
  <sheetViews>
    <sheetView workbookViewId="0"/>
  </sheetViews>
  <sheetFormatPr defaultColWidth="8.88671875" defaultRowHeight="15.6" x14ac:dyDescent="0.3"/>
  <cols>
    <col min="1" max="1" width="55" style="2" customWidth="1"/>
    <col min="2" max="2" width="13.5546875" style="2" customWidth="1"/>
    <col min="3" max="3" width="9.109375" style="2" bestFit="1" customWidth="1"/>
    <col min="4" max="4" width="9.44140625" style="2" bestFit="1" customWidth="1"/>
    <col min="5" max="5" width="12.5546875" style="2" bestFit="1" customWidth="1"/>
    <col min="6" max="7" width="8.88671875" style="2"/>
    <col min="8" max="8" width="11" style="2" customWidth="1"/>
    <col min="9" max="9" width="11.44140625" style="2" bestFit="1" customWidth="1"/>
    <col min="10" max="10" width="12.44140625" style="2" bestFit="1" customWidth="1"/>
    <col min="11" max="11" width="12" style="2" bestFit="1" customWidth="1"/>
    <col min="12" max="12" width="12.5546875" style="2" bestFit="1" customWidth="1"/>
    <col min="13" max="13" width="13.44140625" style="2" bestFit="1" customWidth="1"/>
    <col min="14" max="15" width="15" style="2" customWidth="1"/>
    <col min="16" max="16" width="12.5546875" style="2" bestFit="1" customWidth="1"/>
    <col min="17" max="17" width="14" style="2" bestFit="1" customWidth="1"/>
    <col min="18" max="18" width="12.5546875" style="2" bestFit="1" customWidth="1"/>
    <col min="19" max="16384" width="8.88671875" style="2"/>
  </cols>
  <sheetData>
    <row r="1" spans="1:18" ht="18" x14ac:dyDescent="0.35">
      <c r="A1" s="1" t="s">
        <v>441</v>
      </c>
    </row>
    <row r="2" spans="1:18" x14ac:dyDescent="0.3">
      <c r="A2" s="3" t="str">
        <f>'Table of Contents'!B2</f>
        <v>Final 2026 RTF Work Plan - October 7, 2025</v>
      </c>
    </row>
    <row r="3" spans="1:18" x14ac:dyDescent="0.3">
      <c r="N3"/>
      <c r="O3"/>
      <c r="P3"/>
      <c r="Q3"/>
      <c r="R3"/>
    </row>
    <row r="4" spans="1:18" x14ac:dyDescent="0.3">
      <c r="A4" s="205" t="s">
        <v>442</v>
      </c>
      <c r="B4" s="205" t="s">
        <v>443</v>
      </c>
      <c r="C4" s="205" t="s">
        <v>444</v>
      </c>
      <c r="D4" s="205" t="s">
        <v>445</v>
      </c>
      <c r="E4" s="205" t="s">
        <v>446</v>
      </c>
      <c r="F4" s="205" t="s">
        <v>447</v>
      </c>
      <c r="G4" s="206"/>
      <c r="H4" s="205" t="s">
        <v>448</v>
      </c>
      <c r="I4" s="205" t="s">
        <v>449</v>
      </c>
      <c r="J4" s="206"/>
      <c r="K4" s="205" t="s">
        <v>450</v>
      </c>
      <c r="L4" s="205" t="s">
        <v>451</v>
      </c>
      <c r="M4" s="205" t="s">
        <v>452</v>
      </c>
    </row>
    <row r="5" spans="1:18" x14ac:dyDescent="0.3">
      <c r="B5" s="207">
        <f>C5*12</f>
        <v>124800</v>
      </c>
      <c r="C5" s="207">
        <f>D5*(52/12)</f>
        <v>10400</v>
      </c>
      <c r="D5" s="207">
        <f>E5*5</f>
        <v>2400</v>
      </c>
      <c r="E5" s="207">
        <f>F5*8</f>
        <v>480</v>
      </c>
      <c r="F5" s="208">
        <v>60</v>
      </c>
      <c r="H5" s="207">
        <f>E5*52</f>
        <v>24960</v>
      </c>
      <c r="I5" s="207">
        <f>H5*2</f>
        <v>49920</v>
      </c>
      <c r="K5" s="207">
        <f>E5*12</f>
        <v>5760</v>
      </c>
      <c r="L5" s="207">
        <f>K5*2</f>
        <v>11520</v>
      </c>
      <c r="M5" s="207">
        <f>K5*3</f>
        <v>17280</v>
      </c>
    </row>
    <row r="6" spans="1:18" x14ac:dyDescent="0.3">
      <c r="B6" s="207">
        <f>C6*12</f>
        <v>166400</v>
      </c>
      <c r="C6" s="207">
        <f>D6*(52/12)</f>
        <v>13866.666666666666</v>
      </c>
      <c r="D6" s="207">
        <f>E6*5</f>
        <v>3200</v>
      </c>
      <c r="E6" s="207">
        <f>F6*8</f>
        <v>640</v>
      </c>
      <c r="F6" s="208">
        <v>80</v>
      </c>
      <c r="H6" s="207">
        <f t="shared" ref="H6:H11" si="0">E6*52</f>
        <v>33280</v>
      </c>
      <c r="I6" s="207">
        <f t="shared" ref="I6:I12" si="1">H6*2</f>
        <v>66560</v>
      </c>
      <c r="K6" s="207">
        <f t="shared" ref="K6:K12" si="2">E6*12</f>
        <v>7680</v>
      </c>
      <c r="L6" s="207">
        <f t="shared" ref="L6:L12" si="3">K6*2</f>
        <v>15360</v>
      </c>
      <c r="M6" s="207">
        <f t="shared" ref="M6:M12" si="4">K6*3</f>
        <v>23040</v>
      </c>
    </row>
    <row r="7" spans="1:18" x14ac:dyDescent="0.3">
      <c r="B7" s="207">
        <f t="shared" ref="B7:B11" si="5">C7*12</f>
        <v>208000</v>
      </c>
      <c r="C7" s="207">
        <f t="shared" ref="C7:C11" si="6">D7*(52/12)</f>
        <v>17333.333333333332</v>
      </c>
      <c r="D7" s="207">
        <f t="shared" ref="D7:D12" si="7">E7*5</f>
        <v>4000</v>
      </c>
      <c r="E7" s="207">
        <f t="shared" ref="E7:E12" si="8">F7*8</f>
        <v>800</v>
      </c>
      <c r="F7" s="208">
        <v>100</v>
      </c>
      <c r="H7" s="207">
        <f t="shared" si="0"/>
        <v>41600</v>
      </c>
      <c r="I7" s="207">
        <f t="shared" si="1"/>
        <v>83200</v>
      </c>
      <c r="K7" s="207">
        <f t="shared" si="2"/>
        <v>9600</v>
      </c>
      <c r="L7" s="207">
        <f t="shared" si="3"/>
        <v>19200</v>
      </c>
      <c r="M7" s="207">
        <f t="shared" si="4"/>
        <v>28800</v>
      </c>
    </row>
    <row r="8" spans="1:18" x14ac:dyDescent="0.3">
      <c r="A8" s="209"/>
      <c r="B8" s="207">
        <f t="shared" si="5"/>
        <v>249600</v>
      </c>
      <c r="C8" s="207">
        <f t="shared" si="6"/>
        <v>20800</v>
      </c>
      <c r="D8" s="207">
        <f t="shared" si="7"/>
        <v>4800</v>
      </c>
      <c r="E8" s="207">
        <f t="shared" si="8"/>
        <v>960</v>
      </c>
      <c r="F8" s="208">
        <v>120</v>
      </c>
      <c r="H8" s="207">
        <f t="shared" si="0"/>
        <v>49920</v>
      </c>
      <c r="I8" s="207">
        <f t="shared" si="1"/>
        <v>99840</v>
      </c>
      <c r="K8" s="207">
        <f t="shared" si="2"/>
        <v>11520</v>
      </c>
      <c r="L8" s="207">
        <f t="shared" si="3"/>
        <v>23040</v>
      </c>
      <c r="M8" s="207">
        <f t="shared" si="4"/>
        <v>34560</v>
      </c>
    </row>
    <row r="9" spans="1:18" x14ac:dyDescent="0.3">
      <c r="B9" s="207">
        <f>C9*12</f>
        <v>272480</v>
      </c>
      <c r="C9" s="207">
        <f>D9*(52/12)</f>
        <v>22706.666666666664</v>
      </c>
      <c r="D9" s="207">
        <f>E9*5</f>
        <v>5240</v>
      </c>
      <c r="E9" s="207">
        <f>F9*8</f>
        <v>1048</v>
      </c>
      <c r="F9" s="208">
        <v>131</v>
      </c>
      <c r="H9" s="207">
        <f>E9*52</f>
        <v>54496</v>
      </c>
      <c r="I9" s="207">
        <f>H9*2</f>
        <v>108992</v>
      </c>
      <c r="K9" s="207">
        <f>E9*12</f>
        <v>12576</v>
      </c>
      <c r="L9" s="207">
        <f>K9*2</f>
        <v>25152</v>
      </c>
      <c r="M9" s="207">
        <f>K9*3</f>
        <v>37728</v>
      </c>
    </row>
    <row r="10" spans="1:18" x14ac:dyDescent="0.3">
      <c r="B10" s="207">
        <f t="shared" si="5"/>
        <v>312000</v>
      </c>
      <c r="C10" s="207">
        <f t="shared" si="6"/>
        <v>26000</v>
      </c>
      <c r="D10" s="207">
        <f t="shared" si="7"/>
        <v>6000</v>
      </c>
      <c r="E10" s="207">
        <f t="shared" si="8"/>
        <v>1200</v>
      </c>
      <c r="F10" s="208">
        <v>150</v>
      </c>
      <c r="H10" s="207">
        <f t="shared" si="0"/>
        <v>62400</v>
      </c>
      <c r="I10" s="207">
        <f t="shared" si="1"/>
        <v>124800</v>
      </c>
      <c r="K10" s="207">
        <f t="shared" si="2"/>
        <v>14400</v>
      </c>
      <c r="L10" s="207">
        <f t="shared" si="3"/>
        <v>28800</v>
      </c>
      <c r="M10" s="207">
        <f t="shared" si="4"/>
        <v>43200</v>
      </c>
    </row>
    <row r="11" spans="1:18" x14ac:dyDescent="0.3">
      <c r="B11" s="207">
        <f t="shared" si="5"/>
        <v>416000</v>
      </c>
      <c r="C11" s="207">
        <f t="shared" si="6"/>
        <v>34666.666666666664</v>
      </c>
      <c r="D11" s="207">
        <f t="shared" si="7"/>
        <v>8000</v>
      </c>
      <c r="E11" s="207">
        <f t="shared" si="8"/>
        <v>1600</v>
      </c>
      <c r="F11" s="208">
        <v>200</v>
      </c>
      <c r="H11" s="207">
        <f t="shared" si="0"/>
        <v>83200</v>
      </c>
      <c r="I11" s="207">
        <f t="shared" si="1"/>
        <v>166400</v>
      </c>
      <c r="K11" s="207">
        <f t="shared" si="2"/>
        <v>19200</v>
      </c>
      <c r="L11" s="207">
        <f t="shared" si="3"/>
        <v>38400</v>
      </c>
      <c r="M11" s="207">
        <f t="shared" si="4"/>
        <v>57600</v>
      </c>
    </row>
    <row r="12" spans="1:18" x14ac:dyDescent="0.3">
      <c r="A12" s="210" t="s">
        <v>453</v>
      </c>
      <c r="B12" s="207">
        <f>C12*12</f>
        <v>519999.99999999994</v>
      </c>
      <c r="C12" s="207">
        <f>D12*(52/12)</f>
        <v>43333.333333333328</v>
      </c>
      <c r="D12" s="207">
        <f t="shared" si="7"/>
        <v>10000</v>
      </c>
      <c r="E12" s="207">
        <f t="shared" si="8"/>
        <v>2000</v>
      </c>
      <c r="F12" s="208">
        <v>250</v>
      </c>
      <c r="H12" s="207">
        <f>E12*52</f>
        <v>104000</v>
      </c>
      <c r="I12" s="207">
        <f t="shared" si="1"/>
        <v>208000</v>
      </c>
      <c r="K12" s="207">
        <f t="shared" si="2"/>
        <v>24000</v>
      </c>
      <c r="L12" s="207">
        <f t="shared" si="3"/>
        <v>48000</v>
      </c>
      <c r="M12" s="207">
        <f t="shared" si="4"/>
        <v>72000</v>
      </c>
      <c r="O12" s="211"/>
    </row>
    <row r="14" spans="1:18" x14ac:dyDescent="0.3">
      <c r="A14" s="205" t="s">
        <v>454</v>
      </c>
      <c r="B14" s="205" t="s">
        <v>455</v>
      </c>
      <c r="C14" s="205" t="s">
        <v>456</v>
      </c>
      <c r="D14" s="205" t="s">
        <v>457</v>
      </c>
      <c r="E14" s="205" t="s">
        <v>458</v>
      </c>
      <c r="F14" s="205"/>
      <c r="G14" s="205" t="s">
        <v>459</v>
      </c>
      <c r="H14" s="205" t="s">
        <v>460</v>
      </c>
      <c r="I14" s="205" t="s">
        <v>461</v>
      </c>
      <c r="J14" s="205" t="s">
        <v>474</v>
      </c>
      <c r="K14" s="205"/>
      <c r="L14" s="205"/>
      <c r="M14" s="206"/>
    </row>
    <row r="15" spans="1:18" x14ac:dyDescent="0.3">
      <c r="B15" s="208">
        <v>100</v>
      </c>
      <c r="C15" s="207">
        <f>$B15*8</f>
        <v>800</v>
      </c>
      <c r="D15" s="207">
        <f>$B15*16</f>
        <v>1600</v>
      </c>
      <c r="E15" s="207">
        <f>$B15*24</f>
        <v>2400</v>
      </c>
      <c r="G15" s="207">
        <f>$B15*40</f>
        <v>4000</v>
      </c>
      <c r="H15" s="207">
        <f>$B15*80</f>
        <v>8000</v>
      </c>
      <c r="I15" s="207">
        <f>$B15*120</f>
        <v>12000</v>
      </c>
      <c r="J15" s="207">
        <f>B15*(4*40)</f>
        <v>16000</v>
      </c>
      <c r="K15" s="207"/>
    </row>
    <row r="16" spans="1:18" x14ac:dyDescent="0.3">
      <c r="B16" s="208">
        <v>120</v>
      </c>
      <c r="C16" s="207">
        <f t="shared" ref="C16:C18" si="9">$B16*8</f>
        <v>960</v>
      </c>
      <c r="D16" s="207">
        <f t="shared" ref="D16:D18" si="10">$B16*16</f>
        <v>1920</v>
      </c>
      <c r="E16" s="207">
        <f t="shared" ref="E16:E18" si="11">$B16*24</f>
        <v>2880</v>
      </c>
      <c r="G16" s="207">
        <f t="shared" ref="G16:G18" si="12">$B16*40</f>
        <v>4800</v>
      </c>
      <c r="H16" s="207">
        <f t="shared" ref="H16:H18" si="13">$B16*80</f>
        <v>9600</v>
      </c>
      <c r="I16" s="207">
        <f t="shared" ref="I16:I18" si="14">$B16*120</f>
        <v>14400</v>
      </c>
      <c r="J16" s="207">
        <f t="shared" ref="J16:J18" si="15">B16*(4*40)</f>
        <v>19200</v>
      </c>
    </row>
    <row r="17" spans="1:21" x14ac:dyDescent="0.3">
      <c r="B17" s="208">
        <v>150</v>
      </c>
      <c r="C17" s="207">
        <f t="shared" si="9"/>
        <v>1200</v>
      </c>
      <c r="D17" s="207">
        <f t="shared" si="10"/>
        <v>2400</v>
      </c>
      <c r="E17" s="207">
        <f t="shared" si="11"/>
        <v>3600</v>
      </c>
      <c r="G17" s="207">
        <f t="shared" si="12"/>
        <v>6000</v>
      </c>
      <c r="H17" s="207">
        <f t="shared" si="13"/>
        <v>12000</v>
      </c>
      <c r="I17" s="207">
        <f t="shared" si="14"/>
        <v>18000</v>
      </c>
      <c r="J17" s="207">
        <f t="shared" si="15"/>
        <v>24000</v>
      </c>
    </row>
    <row r="18" spans="1:21" x14ac:dyDescent="0.3">
      <c r="B18" s="208">
        <v>200</v>
      </c>
      <c r="C18" s="207">
        <f t="shared" si="9"/>
        <v>1600</v>
      </c>
      <c r="D18" s="207">
        <f t="shared" si="10"/>
        <v>3200</v>
      </c>
      <c r="E18" s="207">
        <f t="shared" si="11"/>
        <v>4800</v>
      </c>
      <c r="G18" s="207">
        <f t="shared" si="12"/>
        <v>8000</v>
      </c>
      <c r="H18" s="207">
        <f t="shared" si="13"/>
        <v>16000</v>
      </c>
      <c r="I18" s="207">
        <f t="shared" si="14"/>
        <v>24000</v>
      </c>
      <c r="J18" s="207">
        <f t="shared" si="15"/>
        <v>32000</v>
      </c>
    </row>
    <row r="21" spans="1:21" ht="46.8" x14ac:dyDescent="0.3">
      <c r="A21" s="205" t="s">
        <v>462</v>
      </c>
      <c r="B21" s="212" t="s">
        <v>463</v>
      </c>
      <c r="C21" s="213" t="s">
        <v>464</v>
      </c>
      <c r="D21" s="213" t="s">
        <v>465</v>
      </c>
      <c r="E21" s="213" t="s">
        <v>466</v>
      </c>
      <c r="F21" s="214" t="s">
        <v>467</v>
      </c>
      <c r="G21" s="206"/>
      <c r="H21" s="206"/>
      <c r="I21" s="206"/>
      <c r="J21" s="206"/>
      <c r="K21" s="206"/>
      <c r="L21" s="206"/>
    </row>
    <row r="22" spans="1:21" x14ac:dyDescent="0.3">
      <c r="B22" s="215">
        <v>1</v>
      </c>
      <c r="C22" s="2">
        <f>E22*52</f>
        <v>2080</v>
      </c>
      <c r="D22" s="216">
        <f>C22/12</f>
        <v>173.33333333333334</v>
      </c>
      <c r="E22" s="2">
        <f>40</f>
        <v>40</v>
      </c>
      <c r="F22" s="217">
        <f>D22/8</f>
        <v>21.666666666666668</v>
      </c>
      <c r="I22" s="158"/>
      <c r="J22" s="158"/>
      <c r="K22" s="158"/>
      <c r="L22" s="158"/>
      <c r="M22" s="158"/>
      <c r="N22" s="158"/>
      <c r="O22" s="158"/>
      <c r="P22" s="158"/>
      <c r="Q22" s="158"/>
      <c r="R22" s="158"/>
      <c r="S22" s="158"/>
      <c r="T22" s="158"/>
      <c r="U22" s="158"/>
    </row>
    <row r="23" spans="1:21" x14ac:dyDescent="0.3">
      <c r="B23" s="215">
        <v>0.75</v>
      </c>
      <c r="C23" s="2">
        <f t="shared" ref="C23:C31" si="16">E23*52</f>
        <v>1560</v>
      </c>
      <c r="D23" s="216">
        <f t="shared" ref="D23:D31" si="17">C23/12</f>
        <v>130</v>
      </c>
      <c r="E23" s="2">
        <f>B23*$E$22</f>
        <v>30</v>
      </c>
      <c r="F23" s="217">
        <f t="shared" ref="F23:F31" si="18">D23/8</f>
        <v>16.25</v>
      </c>
      <c r="H23" s="218"/>
      <c r="I23" s="219"/>
      <c r="J23" s="219"/>
      <c r="K23" s="219"/>
      <c r="L23" s="219"/>
      <c r="M23" s="220"/>
      <c r="N23" s="221"/>
      <c r="O23" s="222"/>
      <c r="P23" s="158"/>
      <c r="Q23" s="223"/>
      <c r="R23" s="158"/>
      <c r="S23" s="158"/>
      <c r="T23" s="158"/>
      <c r="U23" s="158"/>
    </row>
    <row r="24" spans="1:21" x14ac:dyDescent="0.3">
      <c r="B24" s="215">
        <v>0.5</v>
      </c>
      <c r="C24" s="2">
        <f t="shared" si="16"/>
        <v>1040</v>
      </c>
      <c r="D24" s="216">
        <f t="shared" si="17"/>
        <v>86.666666666666671</v>
      </c>
      <c r="E24" s="2">
        <f t="shared" ref="E24:E31" si="19">B24*$E$22</f>
        <v>20</v>
      </c>
      <c r="F24" s="217">
        <f t="shared" si="18"/>
        <v>10.833333333333334</v>
      </c>
      <c r="H24" s="219"/>
      <c r="I24" s="224"/>
      <c r="J24" s="219"/>
      <c r="K24" s="225"/>
      <c r="L24" s="225"/>
      <c r="M24" s="226"/>
      <c r="N24" s="221"/>
      <c r="O24" s="222"/>
      <c r="P24" s="158"/>
      <c r="Q24" s="227"/>
      <c r="R24" s="158"/>
      <c r="S24" s="158"/>
      <c r="T24" s="158"/>
      <c r="U24" s="158"/>
    </row>
    <row r="25" spans="1:21" x14ac:dyDescent="0.3">
      <c r="B25" s="215">
        <v>0.35</v>
      </c>
      <c r="C25" s="2">
        <f t="shared" si="16"/>
        <v>728</v>
      </c>
      <c r="D25" s="216">
        <f t="shared" si="17"/>
        <v>60.666666666666664</v>
      </c>
      <c r="E25" s="2">
        <f t="shared" si="19"/>
        <v>14</v>
      </c>
      <c r="F25" s="217">
        <f t="shared" si="18"/>
        <v>7.583333333333333</v>
      </c>
      <c r="H25" s="219"/>
      <c r="I25" s="224"/>
      <c r="J25" s="219"/>
      <c r="K25" s="225"/>
      <c r="L25" s="225"/>
      <c r="M25" s="226"/>
      <c r="N25" s="221"/>
      <c r="O25" s="221"/>
      <c r="P25" s="158"/>
      <c r="Q25" s="228"/>
      <c r="R25" s="158"/>
      <c r="S25" s="158"/>
      <c r="T25" s="158"/>
      <c r="U25" s="158"/>
    </row>
    <row r="26" spans="1:21" x14ac:dyDescent="0.3">
      <c r="B26" s="215">
        <v>0.2</v>
      </c>
      <c r="C26" s="2">
        <f t="shared" si="16"/>
        <v>416</v>
      </c>
      <c r="D26" s="216">
        <f t="shared" si="17"/>
        <v>34.666666666666664</v>
      </c>
      <c r="E26" s="2">
        <f t="shared" si="19"/>
        <v>8</v>
      </c>
      <c r="F26" s="217">
        <f t="shared" si="18"/>
        <v>4.333333333333333</v>
      </c>
      <c r="H26" s="219"/>
      <c r="I26" s="224"/>
      <c r="J26" s="219"/>
      <c r="K26" s="225"/>
      <c r="L26" s="225"/>
      <c r="M26" s="226"/>
      <c r="N26" s="221"/>
      <c r="O26" s="222"/>
      <c r="P26" s="158"/>
      <c r="Q26" s="158"/>
      <c r="R26" s="158"/>
      <c r="S26" s="158"/>
      <c r="T26" s="158"/>
      <c r="U26" s="158"/>
    </row>
    <row r="27" spans="1:21" x14ac:dyDescent="0.3">
      <c r="B27" s="215">
        <v>0.15</v>
      </c>
      <c r="C27" s="2">
        <f t="shared" si="16"/>
        <v>312</v>
      </c>
      <c r="D27" s="216">
        <f t="shared" si="17"/>
        <v>26</v>
      </c>
      <c r="E27" s="2">
        <f t="shared" si="19"/>
        <v>6</v>
      </c>
      <c r="F27" s="217">
        <f t="shared" si="18"/>
        <v>3.25</v>
      </c>
      <c r="H27" s="219"/>
      <c r="I27" s="224"/>
      <c r="J27" s="219"/>
      <c r="K27" s="225"/>
      <c r="L27" s="225"/>
      <c r="M27" s="226"/>
      <c r="N27" s="221"/>
      <c r="O27" s="222"/>
      <c r="P27" s="228"/>
      <c r="Q27" s="158"/>
      <c r="R27" s="223"/>
      <c r="S27" s="158"/>
      <c r="T27" s="158"/>
      <c r="U27" s="158"/>
    </row>
    <row r="28" spans="1:21" x14ac:dyDescent="0.3">
      <c r="B28" s="215">
        <v>0.1</v>
      </c>
      <c r="C28" s="2">
        <f t="shared" si="16"/>
        <v>208</v>
      </c>
      <c r="D28" s="216">
        <f t="shared" si="17"/>
        <v>17.333333333333332</v>
      </c>
      <c r="E28" s="2">
        <f t="shared" si="19"/>
        <v>4</v>
      </c>
      <c r="F28" s="217">
        <f t="shared" si="18"/>
        <v>2.1666666666666665</v>
      </c>
      <c r="H28" s="219"/>
      <c r="I28" s="225"/>
      <c r="J28" s="219"/>
      <c r="K28" s="225"/>
      <c r="L28" s="225"/>
      <c r="M28" s="226"/>
      <c r="N28" s="221"/>
      <c r="O28" s="222"/>
      <c r="P28" s="223"/>
      <c r="Q28" s="223"/>
      <c r="R28" s="158"/>
      <c r="S28" s="158"/>
      <c r="T28" s="158"/>
      <c r="U28" s="158"/>
    </row>
    <row r="29" spans="1:21" x14ac:dyDescent="0.3">
      <c r="B29" s="215">
        <v>0.05</v>
      </c>
      <c r="C29" s="2">
        <f t="shared" si="16"/>
        <v>104</v>
      </c>
      <c r="D29" s="216">
        <f t="shared" si="17"/>
        <v>8.6666666666666661</v>
      </c>
      <c r="E29" s="2">
        <f t="shared" si="19"/>
        <v>2</v>
      </c>
      <c r="F29" s="229">
        <f t="shared" si="18"/>
        <v>1.0833333333333333</v>
      </c>
      <c r="H29" s="219"/>
      <c r="I29" s="224"/>
      <c r="J29" s="219"/>
      <c r="K29" s="225"/>
      <c r="L29" s="225"/>
      <c r="M29" s="226"/>
      <c r="N29" s="230"/>
      <c r="O29" s="230"/>
      <c r="P29" s="158"/>
      <c r="Q29" s="223"/>
      <c r="R29" s="158"/>
      <c r="S29" s="158"/>
      <c r="T29" s="158"/>
      <c r="U29" s="158"/>
    </row>
    <row r="30" spans="1:21" x14ac:dyDescent="0.3">
      <c r="B30" s="215">
        <v>0.02</v>
      </c>
      <c r="C30" s="216">
        <f t="shared" si="16"/>
        <v>41.6</v>
      </c>
      <c r="D30" s="216">
        <f t="shared" si="17"/>
        <v>3.4666666666666668</v>
      </c>
      <c r="E30" s="2">
        <f t="shared" si="19"/>
        <v>0.8</v>
      </c>
      <c r="F30" s="229">
        <f t="shared" si="18"/>
        <v>0.43333333333333335</v>
      </c>
      <c r="H30" s="231"/>
      <c r="I30" s="224"/>
      <c r="J30" s="231"/>
      <c r="K30" s="224"/>
      <c r="L30" s="224"/>
      <c r="M30" s="224"/>
      <c r="N30" s="230"/>
      <c r="O30" s="230"/>
      <c r="P30" s="158"/>
      <c r="Q30" s="223"/>
      <c r="R30" s="158"/>
      <c r="S30" s="158"/>
      <c r="T30" s="158"/>
      <c r="U30" s="158"/>
    </row>
    <row r="31" spans="1:21" x14ac:dyDescent="0.3">
      <c r="B31" s="232">
        <v>0.01</v>
      </c>
      <c r="C31" s="233">
        <f t="shared" si="16"/>
        <v>20.8</v>
      </c>
      <c r="D31" s="233">
        <f t="shared" si="17"/>
        <v>1.7333333333333334</v>
      </c>
      <c r="E31" s="234">
        <f t="shared" si="19"/>
        <v>0.4</v>
      </c>
      <c r="F31" s="235">
        <f t="shared" si="18"/>
        <v>0.21666666666666667</v>
      </c>
      <c r="H31"/>
      <c r="I31" s="225"/>
      <c r="J31"/>
      <c r="K31" s="225"/>
      <c r="L31" s="225"/>
      <c r="M31" s="225"/>
      <c r="N31" s="236"/>
      <c r="O31" s="236"/>
      <c r="P31" s="158"/>
      <c r="Q31" s="223"/>
      <c r="R31" s="158"/>
      <c r="S31" s="158"/>
      <c r="T31" s="158"/>
      <c r="U31" s="158"/>
    </row>
    <row r="32" spans="1:21" x14ac:dyDescent="0.3">
      <c r="H32"/>
      <c r="I32"/>
      <c r="J32"/>
      <c r="K32" s="192"/>
      <c r="L32"/>
      <c r="M32" s="148"/>
      <c r="N32" s="236"/>
      <c r="O32" s="237"/>
      <c r="P32" s="158"/>
      <c r="Q32" s="223"/>
      <c r="R32" s="223"/>
      <c r="S32" s="158"/>
      <c r="T32" s="158"/>
      <c r="U32" s="158"/>
    </row>
    <row r="33" spans="2:21" x14ac:dyDescent="0.3">
      <c r="B33" s="473" t="s">
        <v>468</v>
      </c>
      <c r="C33" s="474"/>
      <c r="D33" s="475"/>
      <c r="E33" s="238" t="s">
        <v>469</v>
      </c>
      <c r="H33"/>
      <c r="I33"/>
      <c r="J33" s="192"/>
      <c r="K33"/>
      <c r="L33"/>
      <c r="M33" s="148"/>
      <c r="N33" s="236"/>
      <c r="O33" s="237"/>
      <c r="P33" s="158"/>
      <c r="Q33" s="223"/>
      <c r="R33" s="158"/>
      <c r="S33" s="158"/>
      <c r="T33" s="158"/>
      <c r="U33" s="158"/>
    </row>
    <row r="34" spans="2:21" x14ac:dyDescent="0.3">
      <c r="B34" s="239" t="s">
        <v>470</v>
      </c>
      <c r="C34" s="239" t="s">
        <v>471</v>
      </c>
      <c r="D34" s="239" t="s">
        <v>472</v>
      </c>
      <c r="E34" s="239" t="s">
        <v>473</v>
      </c>
      <c r="H34"/>
      <c r="I34"/>
      <c r="J34"/>
      <c r="K34"/>
      <c r="L34" s="192"/>
      <c r="M34" s="148"/>
      <c r="N34" s="236"/>
      <c r="O34" s="237"/>
      <c r="P34" s="158"/>
      <c r="Q34" s="223"/>
      <c r="R34" s="158"/>
      <c r="S34" s="158"/>
      <c r="T34" s="158"/>
      <c r="U34" s="158"/>
    </row>
    <row r="35" spans="2:21" x14ac:dyDescent="0.3">
      <c r="B35" s="240">
        <v>8</v>
      </c>
      <c r="C35" s="241"/>
      <c r="D35" s="241"/>
      <c r="E35" s="242">
        <f>B35/C22</f>
        <v>3.8461538461538464E-3</v>
      </c>
      <c r="I35"/>
      <c r="J35"/>
      <c r="K35"/>
      <c r="L35"/>
      <c r="M35" s="148"/>
      <c r="N35" s="236"/>
      <c r="O35" s="236"/>
      <c r="P35" s="158"/>
      <c r="Q35" s="158"/>
      <c r="R35" s="158"/>
      <c r="S35" s="158"/>
      <c r="T35" s="158"/>
      <c r="U35" s="158"/>
    </row>
    <row r="36" spans="2:21" x14ac:dyDescent="0.3">
      <c r="B36" s="241"/>
      <c r="C36" s="240">
        <v>14</v>
      </c>
      <c r="D36" s="241"/>
      <c r="E36" s="242">
        <f>C36/D22</f>
        <v>8.076923076923076E-2</v>
      </c>
      <c r="I36"/>
      <c r="J36"/>
      <c r="K36"/>
      <c r="L36" s="192"/>
      <c r="M36" s="150"/>
      <c r="N36" s="243"/>
      <c r="O36" s="244"/>
      <c r="P36" s="158"/>
      <c r="Q36" s="223"/>
      <c r="R36" s="158"/>
      <c r="S36" s="158"/>
      <c r="T36" s="158"/>
      <c r="U36" s="158"/>
    </row>
    <row r="37" spans="2:21" x14ac:dyDescent="0.3">
      <c r="B37" s="241"/>
      <c r="C37" s="241"/>
      <c r="D37" s="240">
        <v>8</v>
      </c>
      <c r="E37" s="242">
        <f>D37/E22</f>
        <v>0.2</v>
      </c>
      <c r="I37" s="245"/>
      <c r="J37" s="158"/>
      <c r="K37" s="158"/>
      <c r="L37" s="246"/>
      <c r="M37" s="247"/>
      <c r="N37" s="236"/>
      <c r="O37" s="236"/>
      <c r="P37" s="158"/>
      <c r="Q37" s="158"/>
      <c r="R37" s="158"/>
      <c r="S37" s="158"/>
      <c r="T37" s="158"/>
      <c r="U37" s="158"/>
    </row>
    <row r="38" spans="2:21" x14ac:dyDescent="0.3">
      <c r="I38" s="248"/>
      <c r="J38" s="158"/>
      <c r="K38" s="158"/>
      <c r="L38" s="249"/>
      <c r="M38" s="148"/>
      <c r="N38" s="148"/>
      <c r="O38" s="244"/>
      <c r="P38" s="158"/>
      <c r="Q38" s="158"/>
      <c r="R38" s="158"/>
      <c r="S38" s="158"/>
      <c r="T38" s="158"/>
      <c r="U38" s="158"/>
    </row>
    <row r="39" spans="2:21" x14ac:dyDescent="0.3">
      <c r="I39" s="245"/>
      <c r="J39" s="227"/>
      <c r="K39" s="158"/>
      <c r="L39" s="158"/>
      <c r="M39" s="158"/>
      <c r="N39" s="245"/>
      <c r="O39" s="223"/>
      <c r="P39" s="158"/>
      <c r="Q39" s="223"/>
      <c r="R39" s="223"/>
      <c r="S39" s="158"/>
      <c r="T39" s="158"/>
      <c r="U39" s="158"/>
    </row>
    <row r="40" spans="2:21" x14ac:dyDescent="0.3">
      <c r="G40" s="183"/>
      <c r="I40" s="158"/>
      <c r="J40" s="227"/>
      <c r="K40" s="158"/>
      <c r="L40" s="221"/>
      <c r="M40" s="158"/>
      <c r="N40" s="223"/>
      <c r="O40" s="158"/>
      <c r="P40" s="158"/>
      <c r="Q40" s="158"/>
      <c r="R40" s="158"/>
      <c r="S40" s="158"/>
      <c r="T40" s="158"/>
      <c r="U40" s="158"/>
    </row>
    <row r="41" spans="2:21" x14ac:dyDescent="0.3">
      <c r="E41" s="203"/>
      <c r="I41" s="158"/>
      <c r="J41" s="227"/>
      <c r="K41" s="158"/>
      <c r="L41" s="227"/>
      <c r="M41" s="158"/>
      <c r="N41" s="158"/>
      <c r="O41" s="158"/>
      <c r="P41" s="158"/>
      <c r="Q41" s="158"/>
      <c r="R41" s="158"/>
      <c r="S41" s="158"/>
      <c r="T41" s="158"/>
      <c r="U41" s="158"/>
    </row>
    <row r="42" spans="2:21" x14ac:dyDescent="0.3">
      <c r="E42" s="203"/>
      <c r="I42" s="158"/>
      <c r="J42" s="227"/>
      <c r="K42" s="158"/>
      <c r="L42" s="158"/>
      <c r="M42" s="158"/>
      <c r="N42" s="158"/>
      <c r="O42" s="223"/>
      <c r="P42" s="158"/>
      <c r="Q42" s="158"/>
      <c r="R42" s="158"/>
      <c r="S42" s="158"/>
      <c r="T42" s="158"/>
      <c r="U42" s="158"/>
    </row>
    <row r="43" spans="2:21" x14ac:dyDescent="0.3">
      <c r="E43" s="203"/>
      <c r="I43" s="158"/>
      <c r="J43" s="227"/>
      <c r="K43" s="158"/>
      <c r="L43" s="227"/>
      <c r="M43" s="236"/>
      <c r="N43" s="158"/>
      <c r="O43" s="223"/>
      <c r="P43" s="250"/>
      <c r="Q43" s="158"/>
      <c r="R43" s="158"/>
      <c r="S43" s="158"/>
      <c r="T43" s="158"/>
      <c r="U43" s="158"/>
    </row>
    <row r="44" spans="2:21" x14ac:dyDescent="0.3">
      <c r="E44" s="203"/>
      <c r="I44" s="158"/>
      <c r="J44" s="227"/>
      <c r="K44" s="158"/>
      <c r="L44" s="227"/>
      <c r="M44" s="236"/>
      <c r="N44" s="158"/>
      <c r="O44" s="223"/>
      <c r="P44" s="158"/>
      <c r="Q44" s="158"/>
      <c r="R44" s="223"/>
      <c r="S44" s="158"/>
      <c r="T44" s="158"/>
      <c r="U44" s="158"/>
    </row>
    <row r="45" spans="2:21" x14ac:dyDescent="0.3">
      <c r="E45" s="203"/>
      <c r="I45" s="251"/>
      <c r="J45" s="252"/>
      <c r="K45" s="158"/>
      <c r="L45" s="227"/>
      <c r="M45" s="158"/>
      <c r="N45" s="228"/>
      <c r="O45" s="158"/>
      <c r="P45" s="250"/>
      <c r="Q45" s="158"/>
      <c r="R45" s="158"/>
      <c r="S45" s="158"/>
      <c r="T45" s="158"/>
      <c r="U45" s="158"/>
    </row>
    <row r="46" spans="2:21" x14ac:dyDescent="0.3">
      <c r="E46" s="203"/>
      <c r="I46" s="158"/>
      <c r="J46" s="158"/>
      <c r="K46" s="158"/>
      <c r="L46" s="227"/>
      <c r="M46" s="158"/>
      <c r="N46" s="158"/>
      <c r="O46" s="223"/>
      <c r="P46" s="158"/>
      <c r="Q46" s="158"/>
      <c r="R46" s="158"/>
      <c r="S46" s="158"/>
      <c r="T46" s="158"/>
      <c r="U46" s="158"/>
    </row>
    <row r="47" spans="2:21" x14ac:dyDescent="0.3">
      <c r="E47" s="203"/>
      <c r="I47" s="158"/>
      <c r="J47" s="158"/>
      <c r="K47" s="251"/>
      <c r="L47" s="227"/>
      <c r="M47" s="158"/>
      <c r="N47" s="227"/>
      <c r="O47" s="158"/>
      <c r="P47" s="158"/>
      <c r="Q47" s="158"/>
      <c r="R47" s="158"/>
      <c r="S47" s="158"/>
      <c r="T47" s="222"/>
      <c r="U47" s="158"/>
    </row>
    <row r="48" spans="2:21" x14ac:dyDescent="0.3">
      <c r="E48" s="203"/>
      <c r="I48" s="158"/>
      <c r="J48" s="158"/>
      <c r="K48" s="158"/>
      <c r="L48" s="253"/>
      <c r="M48" s="158"/>
      <c r="N48" s="228"/>
      <c r="O48" s="158"/>
      <c r="P48" s="228"/>
      <c r="Q48" s="158"/>
      <c r="R48" s="158"/>
      <c r="S48" s="158"/>
      <c r="T48" s="158"/>
      <c r="U48" s="158"/>
    </row>
    <row r="49" spans="3:21" x14ac:dyDescent="0.3">
      <c r="E49" s="203"/>
      <c r="I49" s="158"/>
      <c r="J49" s="250"/>
      <c r="K49" s="158"/>
      <c r="L49" s="252"/>
      <c r="M49" s="158"/>
      <c r="N49" s="158"/>
      <c r="O49" s="158"/>
      <c r="P49" s="158"/>
      <c r="Q49" s="158"/>
      <c r="R49" s="158"/>
      <c r="S49" s="158"/>
      <c r="T49" s="158"/>
      <c r="U49" s="158"/>
    </row>
    <row r="50" spans="3:21" x14ac:dyDescent="0.3">
      <c r="E50" s="203"/>
      <c r="I50" s="245"/>
      <c r="J50" s="158"/>
      <c r="K50" s="158"/>
      <c r="L50" s="158"/>
      <c r="M50" s="158"/>
      <c r="N50" s="158"/>
      <c r="O50" s="158"/>
      <c r="P50" s="158"/>
      <c r="Q50" s="158"/>
      <c r="R50" s="158"/>
      <c r="S50" s="158"/>
      <c r="T50" s="158"/>
      <c r="U50" s="158"/>
    </row>
    <row r="51" spans="3:21" x14ac:dyDescent="0.3">
      <c r="I51" s="158"/>
      <c r="J51" s="158"/>
      <c r="K51" s="158"/>
      <c r="L51" s="158"/>
      <c r="M51" s="158"/>
      <c r="N51" s="228"/>
      <c r="O51" s="158"/>
      <c r="P51" s="158"/>
      <c r="Q51" s="158"/>
      <c r="R51" s="158"/>
      <c r="S51" s="158"/>
      <c r="T51" s="158"/>
      <c r="U51" s="158"/>
    </row>
    <row r="52" spans="3:21" x14ac:dyDescent="0.3">
      <c r="I52" s="158"/>
      <c r="J52" s="158"/>
      <c r="K52" s="158"/>
      <c r="L52" s="158"/>
      <c r="M52" s="158"/>
      <c r="N52" s="158"/>
      <c r="O52" s="158"/>
      <c r="P52" s="158"/>
      <c r="Q52" s="158"/>
      <c r="R52" s="158"/>
      <c r="S52" s="158"/>
      <c r="T52" s="158"/>
      <c r="U52" s="158"/>
    </row>
    <row r="53" spans="3:21" x14ac:dyDescent="0.3">
      <c r="C53" s="216"/>
      <c r="E53" s="203"/>
      <c r="I53" s="158"/>
      <c r="J53" s="158"/>
      <c r="K53" s="158"/>
      <c r="L53" s="158"/>
      <c r="M53" s="158"/>
      <c r="N53" s="158"/>
      <c r="O53" s="158"/>
      <c r="P53" s="158"/>
      <c r="Q53" s="158"/>
      <c r="R53" s="158"/>
      <c r="S53" s="158"/>
      <c r="T53" s="158"/>
      <c r="U53" s="158"/>
    </row>
    <row r="54" spans="3:21" x14ac:dyDescent="0.3">
      <c r="I54" s="158"/>
      <c r="J54" s="245"/>
      <c r="K54" s="222"/>
      <c r="L54" s="158"/>
      <c r="M54" s="158"/>
      <c r="N54" s="158"/>
      <c r="O54" s="158"/>
      <c r="P54" s="158"/>
      <c r="Q54" s="158"/>
      <c r="R54" s="158"/>
      <c r="S54" s="158"/>
      <c r="T54" s="158"/>
      <c r="U54" s="158"/>
    </row>
    <row r="55" spans="3:21" x14ac:dyDescent="0.3">
      <c r="H55" s="254"/>
      <c r="I55" s="158"/>
      <c r="J55" s="158"/>
      <c r="K55" s="158"/>
      <c r="L55" s="158"/>
      <c r="M55" s="158"/>
      <c r="N55" s="250"/>
      <c r="O55" s="158"/>
      <c r="P55" s="158"/>
      <c r="Q55" s="158"/>
      <c r="R55" s="158"/>
      <c r="S55" s="158"/>
      <c r="T55" s="158"/>
      <c r="U55" s="158"/>
    </row>
    <row r="56" spans="3:21" x14ac:dyDescent="0.3">
      <c r="I56" s="158"/>
      <c r="J56" s="158"/>
      <c r="K56" s="158"/>
      <c r="L56" s="158"/>
      <c r="M56" s="158"/>
      <c r="N56" s="245"/>
      <c r="O56" s="158"/>
      <c r="P56" s="158"/>
      <c r="Q56" s="158"/>
      <c r="R56" s="158"/>
      <c r="S56" s="158"/>
      <c r="T56" s="158"/>
      <c r="U56" s="158"/>
    </row>
    <row r="57" spans="3:21" x14ac:dyDescent="0.3">
      <c r="I57" s="158"/>
      <c r="J57" s="158"/>
      <c r="K57" s="158"/>
      <c r="L57" s="227"/>
      <c r="M57" s="158"/>
      <c r="N57" s="158"/>
      <c r="O57" s="158"/>
      <c r="P57" s="158"/>
      <c r="Q57" s="158"/>
      <c r="R57" s="158"/>
      <c r="S57" s="158"/>
      <c r="T57" s="158"/>
      <c r="U57" s="158"/>
    </row>
    <row r="58" spans="3:21" x14ac:dyDescent="0.3">
      <c r="I58" s="158"/>
      <c r="J58" s="158"/>
      <c r="K58" s="158"/>
      <c r="L58" s="158"/>
      <c r="M58" s="158"/>
      <c r="N58" s="158"/>
      <c r="O58" s="158"/>
      <c r="P58" s="158"/>
      <c r="Q58" s="158"/>
      <c r="R58" s="158"/>
      <c r="S58" s="158"/>
      <c r="T58" s="158"/>
      <c r="U58" s="158"/>
    </row>
    <row r="59" spans="3:21" x14ac:dyDescent="0.3">
      <c r="L59" s="158"/>
      <c r="M59" s="158"/>
      <c r="N59" s="158"/>
      <c r="O59" s="158"/>
    </row>
    <row r="63" spans="3:21" x14ac:dyDescent="0.3">
      <c r="K63" s="183"/>
    </row>
  </sheetData>
  <mergeCells count="1">
    <mergeCell ref="B33:D33"/>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A2321-092A-4295-AD2E-5DF08075191C}">
  <sheetPr codeName="Sheet2"/>
  <dimension ref="B1:V88"/>
  <sheetViews>
    <sheetView workbookViewId="0">
      <selection activeCell="C8" sqref="C8"/>
    </sheetView>
  </sheetViews>
  <sheetFormatPr defaultRowHeight="13.2" x14ac:dyDescent="0.25"/>
  <cols>
    <col min="2" max="2" width="59.109375" customWidth="1"/>
    <col min="3" max="8" width="14.109375" customWidth="1"/>
    <col min="10" max="14" width="14.109375" customWidth="1"/>
    <col min="15" max="15" width="8.109375" bestFit="1" customWidth="1"/>
    <col min="17" max="21" width="14.6640625" customWidth="1"/>
    <col min="22" max="22" width="8.109375" bestFit="1" customWidth="1"/>
  </cols>
  <sheetData>
    <row r="1" spans="2:22" ht="18" x14ac:dyDescent="0.35">
      <c r="B1" s="1" t="s">
        <v>42</v>
      </c>
    </row>
    <row r="2" spans="2:22" ht="14.4" x14ac:dyDescent="0.3">
      <c r="B2" s="3" t="str">
        <f>'Table of Contents'!B2</f>
        <v>Final 2026 RTF Work Plan - October 7, 2025</v>
      </c>
    </row>
    <row r="4" spans="2:22" ht="26.25" customHeight="1" x14ac:dyDescent="0.3">
      <c r="B4" s="2"/>
      <c r="C4" s="444" t="s">
        <v>612</v>
      </c>
      <c r="D4" s="445"/>
      <c r="E4" s="445"/>
      <c r="F4" s="445"/>
      <c r="G4" s="446"/>
      <c r="H4" s="2"/>
      <c r="J4" s="444" t="s">
        <v>608</v>
      </c>
      <c r="K4" s="445"/>
      <c r="L4" s="445"/>
      <c r="M4" s="445"/>
      <c r="N4" s="446"/>
      <c r="Q4" s="444" t="s">
        <v>611</v>
      </c>
      <c r="R4" s="445"/>
      <c r="S4" s="445"/>
      <c r="T4" s="445"/>
      <c r="U4" s="446"/>
    </row>
    <row r="5" spans="2:22" ht="62.4" x14ac:dyDescent="0.3">
      <c r="B5" s="5" t="s">
        <v>3</v>
      </c>
      <c r="C5" s="13" t="s">
        <v>352</v>
      </c>
      <c r="D5" s="13" t="s">
        <v>353</v>
      </c>
      <c r="E5" s="14" t="s">
        <v>354</v>
      </c>
      <c r="F5" s="14" t="s">
        <v>355</v>
      </c>
      <c r="G5" s="15" t="s">
        <v>356</v>
      </c>
      <c r="H5" s="13" t="s">
        <v>30</v>
      </c>
      <c r="I5" s="2"/>
      <c r="J5" s="13" t="s">
        <v>25</v>
      </c>
      <c r="K5" s="13" t="s">
        <v>26</v>
      </c>
      <c r="L5" s="14" t="s">
        <v>27</v>
      </c>
      <c r="M5" s="14" t="s">
        <v>28</v>
      </c>
      <c r="N5" s="15" t="s">
        <v>29</v>
      </c>
      <c r="O5" s="13" t="s">
        <v>30</v>
      </c>
      <c r="P5" s="2"/>
      <c r="Q5" s="13" t="s">
        <v>31</v>
      </c>
      <c r="R5" s="13" t="s">
        <v>32</v>
      </c>
      <c r="S5" s="14" t="s">
        <v>33</v>
      </c>
      <c r="T5" s="14" t="s">
        <v>34</v>
      </c>
      <c r="U5" s="15" t="s">
        <v>35</v>
      </c>
      <c r="V5" s="13" t="s">
        <v>30</v>
      </c>
    </row>
    <row r="6" spans="2:22" ht="31.5" customHeight="1" x14ac:dyDescent="0.3">
      <c r="B6" s="16" t="s">
        <v>6</v>
      </c>
      <c r="C6" s="49">
        <f>'Category Detail for 2026'!C7</f>
        <v>159600</v>
      </c>
      <c r="D6" s="49">
        <f>'Category Detail for 2026'!D7</f>
        <v>478800</v>
      </c>
      <c r="E6" s="49">
        <f>'Category Detail for 2026'!E7</f>
        <v>0</v>
      </c>
      <c r="F6" s="49">
        <f>'Category Detail for 2026'!F7</f>
        <v>638400</v>
      </c>
      <c r="G6" s="50">
        <f>'Category Detail for 2026'!G7</f>
        <v>29400</v>
      </c>
      <c r="H6" s="19">
        <f t="shared" ref="H6:H15" si="0">F6/$F$16</f>
        <v>0.27719161130649994</v>
      </c>
      <c r="I6" s="267"/>
      <c r="J6" s="17">
        <v>159500</v>
      </c>
      <c r="K6" s="17">
        <v>478500</v>
      </c>
      <c r="L6" s="21">
        <v>0</v>
      </c>
      <c r="M6" s="21">
        <v>638000</v>
      </c>
      <c r="N6" s="18">
        <v>29000</v>
      </c>
      <c r="O6" s="19">
        <f t="shared" ref="O6:O12" si="1">M6/$M$16</f>
        <v>0.30290082134548735</v>
      </c>
      <c r="P6" s="2"/>
      <c r="Q6" s="17">
        <v>106000</v>
      </c>
      <c r="R6" s="17">
        <v>397400</v>
      </c>
      <c r="S6" s="21">
        <v>0</v>
      </c>
      <c r="T6" s="21">
        <v>503300</v>
      </c>
      <c r="U6" s="18">
        <v>10700</v>
      </c>
      <c r="V6" s="19">
        <f t="shared" ref="V6:V11" si="2">T6/$T$16</f>
        <v>0.25332192470304005</v>
      </c>
    </row>
    <row r="7" spans="2:22" ht="31.5" customHeight="1" x14ac:dyDescent="0.3">
      <c r="B7" s="16" t="s">
        <v>9</v>
      </c>
      <c r="C7" s="49">
        <f>'Category Detail for 2026'!C13</f>
        <v>57000</v>
      </c>
      <c r="D7" s="49">
        <f>'Category Detail for 2026'!D13</f>
        <v>435000</v>
      </c>
      <c r="E7" s="49">
        <f>'Category Detail for 2026'!E13</f>
        <v>0</v>
      </c>
      <c r="F7" s="51">
        <f>'Category Detail for 2026'!F13</f>
        <v>492000</v>
      </c>
      <c r="G7" s="50">
        <f>'Category Detail for 2026'!G13</f>
        <v>6300</v>
      </c>
      <c r="H7" s="19">
        <f t="shared" si="0"/>
        <v>0.21362511397681386</v>
      </c>
      <c r="I7" s="22"/>
      <c r="J7" s="17">
        <v>16500</v>
      </c>
      <c r="K7" s="17">
        <v>210000</v>
      </c>
      <c r="L7" s="17">
        <v>0</v>
      </c>
      <c r="M7" s="21">
        <v>226500</v>
      </c>
      <c r="N7" s="18">
        <v>3000</v>
      </c>
      <c r="O7" s="19">
        <f t="shared" si="1"/>
        <v>0.10753453923942459</v>
      </c>
      <c r="P7" s="2"/>
      <c r="Q7" s="17">
        <v>57400</v>
      </c>
      <c r="R7" s="17">
        <v>270400</v>
      </c>
      <c r="S7" s="17">
        <v>0</v>
      </c>
      <c r="T7" s="21">
        <v>327800</v>
      </c>
      <c r="U7" s="18">
        <v>4900</v>
      </c>
      <c r="V7" s="19">
        <f t="shared" si="2"/>
        <v>0.16498892691765654</v>
      </c>
    </row>
    <row r="8" spans="2:22" ht="31.5" customHeight="1" x14ac:dyDescent="0.3">
      <c r="B8" s="16" t="s">
        <v>10</v>
      </c>
      <c r="C8" s="49">
        <f>'Category Detail for 2026'!C20</f>
        <v>5000</v>
      </c>
      <c r="D8" s="49">
        <f>'Category Detail for 2026'!D20</f>
        <v>191000</v>
      </c>
      <c r="E8" s="49">
        <f>'Category Detail for 2026'!E20</f>
        <v>0</v>
      </c>
      <c r="F8" s="51">
        <f>'Category Detail for 2026'!F20</f>
        <v>196000</v>
      </c>
      <c r="G8" s="50">
        <f>'Category Detail for 2026'!G20</f>
        <v>5000</v>
      </c>
      <c r="H8" s="19">
        <f t="shared" si="0"/>
        <v>8.5102687681820152E-2</v>
      </c>
      <c r="I8" s="22"/>
      <c r="J8" s="17">
        <v>0</v>
      </c>
      <c r="K8" s="17">
        <v>184500</v>
      </c>
      <c r="L8" s="17">
        <v>0</v>
      </c>
      <c r="M8" s="21">
        <v>184500</v>
      </c>
      <c r="N8" s="18">
        <v>0</v>
      </c>
      <c r="O8" s="19">
        <f t="shared" si="1"/>
        <v>8.7594359777809425E-2</v>
      </c>
      <c r="P8" s="2"/>
      <c r="Q8" s="17">
        <v>0</v>
      </c>
      <c r="R8" s="17">
        <v>198700</v>
      </c>
      <c r="S8" s="17">
        <v>0</v>
      </c>
      <c r="T8" s="21">
        <v>198700</v>
      </c>
      <c r="U8" s="18">
        <v>1700</v>
      </c>
      <c r="V8" s="19">
        <f t="shared" si="2"/>
        <v>0.10001006643849406</v>
      </c>
    </row>
    <row r="9" spans="2:22" ht="31.5" customHeight="1" x14ac:dyDescent="0.3">
      <c r="B9" s="23" t="s">
        <v>11</v>
      </c>
      <c r="C9" s="52">
        <f>'Category Detail for 2026'!C24</f>
        <v>36000</v>
      </c>
      <c r="D9" s="52">
        <f>'Category Detail for 2026'!D24</f>
        <v>70000</v>
      </c>
      <c r="E9" s="52">
        <f>'Category Detail for 2026'!E24</f>
        <v>0</v>
      </c>
      <c r="F9" s="53">
        <f>'Category Detail for 2026'!F24</f>
        <v>106000</v>
      </c>
      <c r="G9" s="54">
        <f>'Category Detail for 2026'!G24</f>
        <v>29160</v>
      </c>
      <c r="H9" s="27">
        <f>F9/$F$16</f>
        <v>4.6024922929963963E-2</v>
      </c>
      <c r="I9" s="20"/>
      <c r="J9" s="24">
        <v>30000</v>
      </c>
      <c r="K9" s="24">
        <v>158000</v>
      </c>
      <c r="L9" s="24">
        <v>0</v>
      </c>
      <c r="M9" s="25">
        <v>188000</v>
      </c>
      <c r="N9" s="26">
        <v>11250</v>
      </c>
      <c r="O9" s="27">
        <f t="shared" si="1"/>
        <v>8.9256041399610686E-2</v>
      </c>
      <c r="P9" s="2"/>
      <c r="Q9" s="24">
        <v>5500</v>
      </c>
      <c r="R9" s="24">
        <v>124700</v>
      </c>
      <c r="S9" s="24">
        <v>0</v>
      </c>
      <c r="T9" s="25">
        <v>130200</v>
      </c>
      <c r="U9" s="26">
        <v>18200</v>
      </c>
      <c r="V9" s="27">
        <f t="shared" si="2"/>
        <v>6.5532514596335814E-2</v>
      </c>
    </row>
    <row r="10" spans="2:22" ht="31.5" customHeight="1" x14ac:dyDescent="0.3">
      <c r="B10" s="23" t="s">
        <v>12</v>
      </c>
      <c r="C10" s="52">
        <f>'Category Detail for 2026'!C28</f>
        <v>70750</v>
      </c>
      <c r="D10" s="52">
        <f>'Category Detail for 2026'!D28</f>
        <v>91900</v>
      </c>
      <c r="E10" s="52">
        <f>'Category Detail for 2026'!E28</f>
        <v>0</v>
      </c>
      <c r="F10" s="53">
        <f>'Category Detail for 2026'!F28</f>
        <v>162650</v>
      </c>
      <c r="G10" s="54">
        <f>'Category Detail for 2026'!G28</f>
        <v>30150</v>
      </c>
      <c r="H10" s="27">
        <f>F10/$F$16</f>
        <v>7.0622204854326784E-2</v>
      </c>
      <c r="I10" s="22"/>
      <c r="J10" s="24">
        <v>81500</v>
      </c>
      <c r="K10" s="24">
        <v>143200</v>
      </c>
      <c r="L10" s="24">
        <v>0</v>
      </c>
      <c r="M10" s="25">
        <v>224700</v>
      </c>
      <c r="N10" s="26">
        <v>30150</v>
      </c>
      <c r="O10" s="27">
        <f t="shared" si="1"/>
        <v>0.10667996011964108</v>
      </c>
      <c r="P10" s="2"/>
      <c r="Q10" s="24">
        <v>27600</v>
      </c>
      <c r="R10" s="24">
        <v>187600</v>
      </c>
      <c r="S10" s="24">
        <v>0</v>
      </c>
      <c r="T10" s="25">
        <v>215200</v>
      </c>
      <c r="U10" s="26">
        <v>24300</v>
      </c>
      <c r="V10" s="27">
        <f t="shared" si="2"/>
        <v>0.10831487819609423</v>
      </c>
    </row>
    <row r="11" spans="2:22" ht="31.5" customHeight="1" x14ac:dyDescent="0.3">
      <c r="B11" s="29" t="s">
        <v>13</v>
      </c>
      <c r="C11" s="55">
        <f>'Category Detail for 2026'!C33</f>
        <v>5700</v>
      </c>
      <c r="D11" s="55">
        <f>'Category Detail for 2026'!D33</f>
        <v>78250</v>
      </c>
      <c r="E11" s="55">
        <f>'Category Detail for 2026'!E33</f>
        <v>0</v>
      </c>
      <c r="F11" s="56">
        <f>'Category Detail for 2026'!F33</f>
        <v>83950</v>
      </c>
      <c r="G11" s="57">
        <f>'Category Detail for 2026'!G33</f>
        <v>21680</v>
      </c>
      <c r="H11" s="33">
        <f t="shared" si="0"/>
        <v>3.6450870565759193E-2</v>
      </c>
      <c r="I11" s="22"/>
      <c r="J11" s="30">
        <v>40000</v>
      </c>
      <c r="K11" s="30">
        <v>36200</v>
      </c>
      <c r="L11" s="30">
        <v>0</v>
      </c>
      <c r="M11" s="31">
        <v>76200</v>
      </c>
      <c r="N11" s="32">
        <v>13000</v>
      </c>
      <c r="O11" s="33">
        <f t="shared" si="1"/>
        <v>3.6177182737501777E-2</v>
      </c>
      <c r="P11" s="2"/>
      <c r="Q11" s="30">
        <v>0</v>
      </c>
      <c r="R11" s="30">
        <v>55200</v>
      </c>
      <c r="S11" s="30">
        <v>0</v>
      </c>
      <c r="T11" s="31">
        <v>55200</v>
      </c>
      <c r="U11" s="32">
        <v>11000</v>
      </c>
      <c r="V11" s="33">
        <f t="shared" si="2"/>
        <v>2.7783370243607813E-2</v>
      </c>
    </row>
    <row r="12" spans="2:22" ht="31.5" customHeight="1" x14ac:dyDescent="0.3">
      <c r="B12" s="29" t="s">
        <v>41</v>
      </c>
      <c r="C12" s="55">
        <f>'Category Detail for 2026'!C38</f>
        <v>66800</v>
      </c>
      <c r="D12" s="55">
        <f>'Category Detail for 2026'!D38</f>
        <v>10000</v>
      </c>
      <c r="E12" s="55">
        <f>'Category Detail for 2026'!E38</f>
        <v>0</v>
      </c>
      <c r="F12" s="56">
        <f>'Category Detail for 2026'!F38</f>
        <v>76800</v>
      </c>
      <c r="G12" s="57">
        <f>'Category Detail for 2026'!G38</f>
        <v>0</v>
      </c>
      <c r="H12" s="33">
        <f t="shared" si="0"/>
        <v>3.3346359254917288E-2</v>
      </c>
      <c r="I12" s="22"/>
      <c r="J12" s="30">
        <v>0</v>
      </c>
      <c r="K12" s="30">
        <v>50000</v>
      </c>
      <c r="L12" s="30">
        <v>0</v>
      </c>
      <c r="M12" s="30">
        <v>50000</v>
      </c>
      <c r="N12" s="32">
        <v>6000</v>
      </c>
      <c r="O12" s="33">
        <f t="shared" si="1"/>
        <v>2.3738308882875182E-2</v>
      </c>
      <c r="P12" s="2"/>
      <c r="Q12" s="30" t="s">
        <v>36</v>
      </c>
      <c r="R12" s="30" t="s">
        <v>36</v>
      </c>
      <c r="S12" s="30" t="s">
        <v>36</v>
      </c>
      <c r="T12" s="30" t="s">
        <v>36</v>
      </c>
      <c r="U12" s="32" t="s">
        <v>36</v>
      </c>
      <c r="V12" s="33" t="s">
        <v>36</v>
      </c>
    </row>
    <row r="13" spans="2:22" ht="31.5" customHeight="1" x14ac:dyDescent="0.3">
      <c r="B13" s="34" t="s">
        <v>14</v>
      </c>
      <c r="C13" s="58">
        <f>'Category Detail for 2026'!C43</f>
        <v>133660</v>
      </c>
      <c r="D13" s="58">
        <f>'Category Detail for 2026'!D43</f>
        <v>168900</v>
      </c>
      <c r="E13" s="58">
        <f>'Category Detail for 2026'!E43</f>
        <v>0</v>
      </c>
      <c r="F13" s="59">
        <f>'Category Detail for 2026'!F43</f>
        <v>302560</v>
      </c>
      <c r="G13" s="60">
        <f>'Category Detail for 2026'!G43</f>
        <v>15000</v>
      </c>
      <c r="H13" s="38">
        <f t="shared" si="0"/>
        <v>0.13137076114801788</v>
      </c>
      <c r="I13" s="22"/>
      <c r="J13" s="35">
        <v>171900</v>
      </c>
      <c r="K13" s="35">
        <v>110000</v>
      </c>
      <c r="L13" s="35">
        <v>0</v>
      </c>
      <c r="M13" s="36">
        <v>281900</v>
      </c>
      <c r="N13" s="37">
        <v>15000</v>
      </c>
      <c r="O13" s="38">
        <f>M13/$M$16</f>
        <v>0.13383658548165028</v>
      </c>
      <c r="P13" s="2"/>
      <c r="Q13" s="35">
        <v>179900</v>
      </c>
      <c r="R13" s="35">
        <v>124700</v>
      </c>
      <c r="S13" s="35">
        <v>0</v>
      </c>
      <c r="T13" s="36">
        <v>304700</v>
      </c>
      <c r="U13" s="37">
        <v>11000</v>
      </c>
      <c r="V13" s="38">
        <f>T13/$T$16</f>
        <v>0.1533621904570163</v>
      </c>
    </row>
    <row r="14" spans="2:22" ht="31.5" customHeight="1" x14ac:dyDescent="0.3">
      <c r="B14" s="34" t="s">
        <v>17</v>
      </c>
      <c r="C14" s="58">
        <f>'Category Detail for 2026'!C40</f>
        <v>61240</v>
      </c>
      <c r="D14" s="58">
        <f>'Category Detail for 2026'!D40</f>
        <v>0</v>
      </c>
      <c r="E14" s="58">
        <f>'Category Detail for 2026'!E40</f>
        <v>0</v>
      </c>
      <c r="F14" s="59">
        <f>'Category Detail for 2026'!F40</f>
        <v>61240</v>
      </c>
      <c r="G14" s="60">
        <f>'Category Detail for 2026'!G40</f>
        <v>29000</v>
      </c>
      <c r="H14" s="38">
        <f t="shared" si="0"/>
        <v>2.6590247926707482E-2</v>
      </c>
      <c r="I14" s="20"/>
      <c r="J14" s="35">
        <v>62300</v>
      </c>
      <c r="K14" s="35">
        <v>0</v>
      </c>
      <c r="L14" s="35">
        <v>0</v>
      </c>
      <c r="M14" s="36">
        <v>62300</v>
      </c>
      <c r="N14" s="37">
        <v>45000</v>
      </c>
      <c r="O14" s="38">
        <f>M14/$M$16</f>
        <v>2.9577932868062481E-2</v>
      </c>
      <c r="P14" s="2"/>
      <c r="Q14" s="35">
        <v>55200</v>
      </c>
      <c r="R14" s="35">
        <v>0</v>
      </c>
      <c r="S14" s="35">
        <v>0</v>
      </c>
      <c r="T14" s="36">
        <v>55200</v>
      </c>
      <c r="U14" s="37">
        <v>49700</v>
      </c>
      <c r="V14" s="38">
        <f>T14/$T$16</f>
        <v>2.7783370243607813E-2</v>
      </c>
    </row>
    <row r="15" spans="2:22" ht="31.5" customHeight="1" x14ac:dyDescent="0.3">
      <c r="B15" s="34" t="s">
        <v>15</v>
      </c>
      <c r="C15" s="58">
        <f>'Category Detail for 2026'!C46</f>
        <v>7500</v>
      </c>
      <c r="D15" s="58">
        <f>'Category Detail for 2026'!D46</f>
        <v>5000</v>
      </c>
      <c r="E15" s="58">
        <f>'Category Detail for 2026'!E46</f>
        <v>171000</v>
      </c>
      <c r="F15" s="59">
        <f>'Category Detail for 2026'!F46</f>
        <v>183500</v>
      </c>
      <c r="G15" s="60">
        <f>'Category Detail for 2026'!G46</f>
        <v>39310</v>
      </c>
      <c r="H15" s="38">
        <f t="shared" si="0"/>
        <v>7.9675220355173465E-2</v>
      </c>
      <c r="I15" s="22"/>
      <c r="J15" s="35">
        <v>7200</v>
      </c>
      <c r="K15" s="35">
        <v>5000</v>
      </c>
      <c r="L15" s="35">
        <v>162000</v>
      </c>
      <c r="M15" s="36">
        <v>174200</v>
      </c>
      <c r="N15" s="37">
        <v>52500</v>
      </c>
      <c r="O15" s="38">
        <f>M15/$M$16</f>
        <v>8.2704268147937146E-2</v>
      </c>
      <c r="P15" s="2"/>
      <c r="Q15" s="35">
        <v>4400</v>
      </c>
      <c r="R15" s="35">
        <v>0</v>
      </c>
      <c r="S15" s="35">
        <v>192100</v>
      </c>
      <c r="T15" s="36">
        <v>196500</v>
      </c>
      <c r="U15" s="37">
        <v>73400</v>
      </c>
      <c r="V15" s="38">
        <f>T15/$T$16</f>
        <v>9.8902758204147373E-2</v>
      </c>
    </row>
    <row r="16" spans="2:22" ht="38.25" customHeight="1" x14ac:dyDescent="0.3">
      <c r="B16" s="39" t="s">
        <v>37</v>
      </c>
      <c r="C16" s="61">
        <f t="shared" ref="C16:H16" si="3">SUM(C6:C15)</f>
        <v>603250</v>
      </c>
      <c r="D16" s="61">
        <f t="shared" si="3"/>
        <v>1528850</v>
      </c>
      <c r="E16" s="61">
        <f t="shared" si="3"/>
        <v>171000</v>
      </c>
      <c r="F16" s="62">
        <f t="shared" si="3"/>
        <v>2303100</v>
      </c>
      <c r="G16" s="63">
        <f t="shared" si="3"/>
        <v>205000</v>
      </c>
      <c r="H16" s="43">
        <f t="shared" si="3"/>
        <v>1</v>
      </c>
      <c r="I16" s="22"/>
      <c r="J16" s="40">
        <v>568900</v>
      </c>
      <c r="K16" s="40">
        <v>1375400</v>
      </c>
      <c r="L16" s="40">
        <v>162000</v>
      </c>
      <c r="M16" s="41">
        <v>2106300</v>
      </c>
      <c r="N16" s="42">
        <v>204900</v>
      </c>
      <c r="O16" s="43">
        <f t="shared" ref="O16" si="4">SUM(O6:O15)</f>
        <v>1</v>
      </c>
      <c r="P16" s="2"/>
      <c r="Q16" s="40">
        <v>436000</v>
      </c>
      <c r="R16" s="40">
        <v>1358700</v>
      </c>
      <c r="S16" s="40">
        <v>192100</v>
      </c>
      <c r="T16" s="44">
        <v>1986800</v>
      </c>
      <c r="U16" s="45">
        <v>204900</v>
      </c>
      <c r="V16" s="43">
        <f t="shared" ref="V16" si="5">SUM(V6:V15)</f>
        <v>0.99999999999999989</v>
      </c>
    </row>
    <row r="17" spans="2:17" x14ac:dyDescent="0.25">
      <c r="D17" s="257"/>
    </row>
    <row r="19" spans="2:17" x14ac:dyDescent="0.25">
      <c r="N19" t="s">
        <v>48</v>
      </c>
      <c r="O19" t="str">
        <f>C4</f>
        <v>Proposed 2026 Budget</v>
      </c>
      <c r="P19" t="str">
        <f>J4</f>
        <v>Approved Work Plan Budget 2025</v>
      </c>
      <c r="Q19" t="str">
        <f>Q4</f>
        <v>Approved Business Plan Budget 2024</v>
      </c>
    </row>
    <row r="20" spans="2:17" x14ac:dyDescent="0.25">
      <c r="B20" s="64" t="s">
        <v>38</v>
      </c>
      <c r="C20" s="64" t="str">
        <f>C4</f>
        <v>Proposed 2026 Budget</v>
      </c>
      <c r="D20" s="65" t="str">
        <f>J4</f>
        <v>Approved Work Plan Budget 2025</v>
      </c>
      <c r="E20" s="65" t="str">
        <f>Q4</f>
        <v>Approved Business Plan Budget 2024</v>
      </c>
      <c r="F20" s="46"/>
      <c r="G20" s="46"/>
      <c r="H20" s="46"/>
      <c r="N20" t="str">
        <f>B6</f>
        <v>Existing Measure Review &amp; Updates</v>
      </c>
      <c r="O20" s="47">
        <f>H6</f>
        <v>0.27719161130649994</v>
      </c>
      <c r="P20" s="47">
        <f>O6</f>
        <v>0.30290082134548735</v>
      </c>
      <c r="Q20" s="47">
        <f>V6</f>
        <v>0.25332192470304005</v>
      </c>
    </row>
    <row r="21" spans="2:17" x14ac:dyDescent="0.25">
      <c r="B21" t="str">
        <f>$B$6</f>
        <v>Existing Measure Review &amp; Updates</v>
      </c>
      <c r="C21" s="48">
        <f t="shared" ref="C21:C30" si="6">F6</f>
        <v>638400</v>
      </c>
      <c r="D21" s="48">
        <f>M6</f>
        <v>638000</v>
      </c>
      <c r="E21" s="48">
        <f>T6</f>
        <v>503300</v>
      </c>
      <c r="F21" s="48"/>
      <c r="G21" s="48"/>
      <c r="H21" s="48"/>
      <c r="N21" t="str">
        <f t="shared" ref="N21:N29" si="7">B7</f>
        <v>New Measure Development &amp; Review of Unsolicited Proposals</v>
      </c>
      <c r="O21" s="47">
        <f t="shared" ref="O21:O29" si="8">H7</f>
        <v>0.21362511397681386</v>
      </c>
      <c r="P21" s="47">
        <f t="shared" ref="P21:P29" si="9">O7</f>
        <v>0.10753453923942459</v>
      </c>
      <c r="Q21" s="47">
        <f t="shared" ref="Q21:Q29" si="10">V7</f>
        <v>0.16498892691765654</v>
      </c>
    </row>
    <row r="22" spans="2:17" x14ac:dyDescent="0.25">
      <c r="B22" t="str">
        <f>$B$7</f>
        <v>New Measure Development &amp; Review of Unsolicited Proposals</v>
      </c>
      <c r="C22" s="48">
        <f t="shared" si="6"/>
        <v>492000</v>
      </c>
      <c r="D22" s="48">
        <f t="shared" ref="D22:D30" si="11">M7</f>
        <v>226500</v>
      </c>
      <c r="E22" s="48">
        <f t="shared" ref="E22:E30" si="12">T7</f>
        <v>327800</v>
      </c>
      <c r="F22" s="48"/>
      <c r="G22" s="48"/>
      <c r="H22" s="48"/>
      <c r="N22" t="str">
        <f t="shared" si="7"/>
        <v>Standardization of Technical Analysis</v>
      </c>
      <c r="O22" s="47">
        <f t="shared" si="8"/>
        <v>8.5102687681820152E-2</v>
      </c>
      <c r="P22" s="47">
        <f t="shared" si="9"/>
        <v>8.7594359777809425E-2</v>
      </c>
      <c r="Q22" s="47">
        <f t="shared" si="10"/>
        <v>0.10001006643849406</v>
      </c>
    </row>
    <row r="23" spans="2:17" x14ac:dyDescent="0.25">
      <c r="B23" t="str">
        <f>$B$8</f>
        <v>Standardization of Technical Analysis</v>
      </c>
      <c r="C23" s="48">
        <f t="shared" si="6"/>
        <v>196000</v>
      </c>
      <c r="D23" s="48">
        <f t="shared" si="11"/>
        <v>184500</v>
      </c>
      <c r="E23" s="48">
        <f t="shared" si="12"/>
        <v>198700</v>
      </c>
      <c r="F23" s="48"/>
      <c r="G23" s="48"/>
      <c r="H23" s="48"/>
      <c r="N23" t="str">
        <f t="shared" si="7"/>
        <v>Tool Development</v>
      </c>
      <c r="O23" s="47">
        <f t="shared" si="8"/>
        <v>4.6024922929963963E-2</v>
      </c>
      <c r="P23" s="47">
        <f t="shared" si="9"/>
        <v>8.9256041399610686E-2</v>
      </c>
      <c r="Q23" s="47">
        <f t="shared" si="10"/>
        <v>6.5532514596335814E-2</v>
      </c>
    </row>
    <row r="24" spans="2:17" x14ac:dyDescent="0.25">
      <c r="B24" t="str">
        <f>$B$9</f>
        <v>Tool Development</v>
      </c>
      <c r="C24" s="48">
        <f t="shared" si="6"/>
        <v>106000</v>
      </c>
      <c r="D24" s="48">
        <f t="shared" si="11"/>
        <v>188000</v>
      </c>
      <c r="E24" s="48">
        <f t="shared" si="12"/>
        <v>130200</v>
      </c>
      <c r="F24" s="48"/>
      <c r="G24" s="48"/>
      <c r="H24" s="48"/>
      <c r="N24" t="str">
        <f t="shared" si="7"/>
        <v>Regional Coordination</v>
      </c>
      <c r="O24" s="47">
        <f t="shared" si="8"/>
        <v>7.0622204854326784E-2</v>
      </c>
      <c r="P24" s="47">
        <f t="shared" si="9"/>
        <v>0.10667996011964108</v>
      </c>
      <c r="Q24" s="47">
        <f t="shared" si="10"/>
        <v>0.10831487819609423</v>
      </c>
    </row>
    <row r="25" spans="2:17" x14ac:dyDescent="0.25">
      <c r="B25" t="str">
        <f>$B$10</f>
        <v>Regional Coordination</v>
      </c>
      <c r="C25" s="48">
        <f t="shared" si="6"/>
        <v>162650</v>
      </c>
      <c r="D25" s="48">
        <f t="shared" si="11"/>
        <v>224700</v>
      </c>
      <c r="E25" s="48">
        <f t="shared" si="12"/>
        <v>215200</v>
      </c>
      <c r="F25" s="48"/>
      <c r="G25" s="48"/>
      <c r="H25" s="48"/>
      <c r="N25" t="str">
        <f t="shared" si="7"/>
        <v>Demand Response</v>
      </c>
      <c r="O25" s="47">
        <f t="shared" si="8"/>
        <v>3.6450870565759193E-2</v>
      </c>
      <c r="P25" s="47">
        <f t="shared" si="9"/>
        <v>3.6177182737501777E-2</v>
      </c>
      <c r="Q25" s="47">
        <f t="shared" si="10"/>
        <v>2.7783370243607813E-2</v>
      </c>
    </row>
    <row r="26" spans="2:17" x14ac:dyDescent="0.25">
      <c r="B26" t="str">
        <f>$B$11</f>
        <v>Demand Response</v>
      </c>
      <c r="C26" s="48">
        <f t="shared" si="6"/>
        <v>83950</v>
      </c>
      <c r="D26" s="48">
        <f t="shared" si="11"/>
        <v>76200</v>
      </c>
      <c r="E26" s="48">
        <f t="shared" si="12"/>
        <v>55200</v>
      </c>
      <c r="F26" s="48"/>
      <c r="G26" s="48"/>
      <c r="H26" s="48"/>
      <c r="N26" t="str">
        <f t="shared" si="7"/>
        <v>Planning Measure Research</v>
      </c>
      <c r="O26" s="47">
        <f t="shared" si="8"/>
        <v>3.3346359254917288E-2</v>
      </c>
      <c r="P26" s="47"/>
      <c r="Q26" s="47"/>
    </row>
    <row r="27" spans="2:17" x14ac:dyDescent="0.25">
      <c r="B27" t="str">
        <f>$B$12</f>
        <v>Planning Measure Research</v>
      </c>
      <c r="C27" s="48">
        <f t="shared" si="6"/>
        <v>76800</v>
      </c>
      <c r="D27" s="48"/>
      <c r="E27" s="48"/>
      <c r="F27" s="48"/>
      <c r="G27" s="48"/>
      <c r="H27" s="48"/>
      <c r="N27" t="str">
        <f t="shared" si="7"/>
        <v>RTF Member Support &amp; Administration</v>
      </c>
      <c r="O27" s="47">
        <f t="shared" si="8"/>
        <v>0.13137076114801788</v>
      </c>
      <c r="P27" s="47">
        <f t="shared" si="9"/>
        <v>0.13383658548165028</v>
      </c>
      <c r="Q27" s="47">
        <f t="shared" si="10"/>
        <v>0.1533621904570163</v>
      </c>
    </row>
    <row r="28" spans="2:17" x14ac:dyDescent="0.25">
      <c r="B28" t="str">
        <f>$B$14</f>
        <v xml:space="preserve">Website, Database support, Conservation Tracking </v>
      </c>
      <c r="C28" s="48">
        <f t="shared" si="6"/>
        <v>302560</v>
      </c>
      <c r="D28" s="48">
        <f t="shared" si="11"/>
        <v>281900</v>
      </c>
      <c r="E28" s="48">
        <f t="shared" si="12"/>
        <v>304700</v>
      </c>
      <c r="F28" s="48"/>
      <c r="G28" s="48"/>
      <c r="H28" s="48"/>
      <c r="N28" t="str">
        <f t="shared" si="7"/>
        <v xml:space="preserve">Website, Database support, Conservation Tracking </v>
      </c>
      <c r="O28" s="47">
        <f t="shared" si="8"/>
        <v>2.6590247926707482E-2</v>
      </c>
      <c r="P28" s="47">
        <f t="shared" si="9"/>
        <v>2.9577932868062481E-2</v>
      </c>
      <c r="Q28" s="47">
        <f t="shared" si="10"/>
        <v>2.7783370243607813E-2</v>
      </c>
    </row>
    <row r="29" spans="2:17" x14ac:dyDescent="0.25">
      <c r="B29" t="str">
        <f>$B$13</f>
        <v>RTF Member Support &amp; Administration</v>
      </c>
      <c r="C29" s="48">
        <f t="shared" si="6"/>
        <v>61240</v>
      </c>
      <c r="D29" s="48">
        <f t="shared" si="11"/>
        <v>62300</v>
      </c>
      <c r="E29" s="48">
        <f t="shared" si="12"/>
        <v>55200</v>
      </c>
      <c r="F29" s="48"/>
      <c r="G29" s="48"/>
      <c r="H29" s="48"/>
      <c r="N29" t="str">
        <f t="shared" si="7"/>
        <v>RTF Management</v>
      </c>
      <c r="O29" s="47">
        <f t="shared" si="8"/>
        <v>7.9675220355173465E-2</v>
      </c>
      <c r="P29" s="47">
        <f t="shared" si="9"/>
        <v>8.2704268147937146E-2</v>
      </c>
      <c r="Q29" s="47">
        <f t="shared" si="10"/>
        <v>9.8902758204147373E-2</v>
      </c>
    </row>
    <row r="30" spans="2:17" x14ac:dyDescent="0.25">
      <c r="B30" t="str">
        <f>$B$15</f>
        <v>RTF Management</v>
      </c>
      <c r="C30" s="48">
        <f t="shared" si="6"/>
        <v>183500</v>
      </c>
      <c r="D30" s="48">
        <f t="shared" si="11"/>
        <v>174200</v>
      </c>
      <c r="E30" s="48">
        <f t="shared" si="12"/>
        <v>196500</v>
      </c>
      <c r="N30" s="47"/>
      <c r="O30" s="47"/>
      <c r="P30" s="47"/>
      <c r="Q30" s="47"/>
    </row>
    <row r="49" spans="2:5" x14ac:dyDescent="0.25">
      <c r="B49" t="s">
        <v>39</v>
      </c>
      <c r="C49" t="str">
        <f>C4</f>
        <v>Proposed 2026 Budget</v>
      </c>
      <c r="D49" t="str">
        <f>J4</f>
        <v>Approved Work Plan Budget 2025</v>
      </c>
      <c r="E49" t="str">
        <f>Q4</f>
        <v>Approved Business Plan Budget 2024</v>
      </c>
    </row>
    <row r="50" spans="2:5" x14ac:dyDescent="0.25">
      <c r="B50" t="str">
        <f>B6</f>
        <v>Existing Measure Review &amp; Updates</v>
      </c>
      <c r="C50" s="66">
        <f>C6</f>
        <v>159600</v>
      </c>
      <c r="D50" s="48">
        <f>J6</f>
        <v>159500</v>
      </c>
      <c r="E50" s="48">
        <f>Q6</f>
        <v>106000</v>
      </c>
    </row>
    <row r="51" spans="2:5" x14ac:dyDescent="0.25">
      <c r="B51" t="str">
        <f t="shared" ref="B51:C59" si="13">B7</f>
        <v>New Measure Development &amp; Review of Unsolicited Proposals</v>
      </c>
      <c r="C51" s="66">
        <f t="shared" si="13"/>
        <v>57000</v>
      </c>
      <c r="D51" s="48">
        <f t="shared" ref="D51:D59" si="14">J7</f>
        <v>16500</v>
      </c>
      <c r="E51" s="48">
        <f t="shared" ref="E51:E59" si="15">Q7</f>
        <v>57400</v>
      </c>
    </row>
    <row r="52" spans="2:5" x14ac:dyDescent="0.25">
      <c r="B52" t="str">
        <f t="shared" si="13"/>
        <v>Standardization of Technical Analysis</v>
      </c>
      <c r="C52" s="66">
        <f t="shared" si="13"/>
        <v>5000</v>
      </c>
      <c r="D52" s="48">
        <f t="shared" si="14"/>
        <v>0</v>
      </c>
      <c r="E52" s="48">
        <f t="shared" si="15"/>
        <v>0</v>
      </c>
    </row>
    <row r="53" spans="2:5" x14ac:dyDescent="0.25">
      <c r="B53" t="str">
        <f t="shared" si="13"/>
        <v>Tool Development</v>
      </c>
      <c r="C53" s="66">
        <f t="shared" si="13"/>
        <v>36000</v>
      </c>
      <c r="D53" s="48">
        <f t="shared" si="14"/>
        <v>30000</v>
      </c>
      <c r="E53" s="48">
        <f t="shared" si="15"/>
        <v>5500</v>
      </c>
    </row>
    <row r="54" spans="2:5" x14ac:dyDescent="0.25">
      <c r="B54" t="str">
        <f t="shared" si="13"/>
        <v>Regional Coordination</v>
      </c>
      <c r="C54" s="66">
        <f t="shared" si="13"/>
        <v>70750</v>
      </c>
      <c r="D54" s="48">
        <f t="shared" si="14"/>
        <v>81500</v>
      </c>
      <c r="E54" s="48">
        <f t="shared" si="15"/>
        <v>27600</v>
      </c>
    </row>
    <row r="55" spans="2:5" x14ac:dyDescent="0.25">
      <c r="B55" t="str">
        <f t="shared" si="13"/>
        <v>Demand Response</v>
      </c>
      <c r="C55" s="66">
        <f t="shared" si="13"/>
        <v>5700</v>
      </c>
      <c r="D55" s="48">
        <f t="shared" si="14"/>
        <v>40000</v>
      </c>
      <c r="E55" s="48">
        <f t="shared" si="15"/>
        <v>0</v>
      </c>
    </row>
    <row r="56" spans="2:5" x14ac:dyDescent="0.25">
      <c r="B56" t="str">
        <f t="shared" si="13"/>
        <v>Planning Measure Research</v>
      </c>
      <c r="C56" s="66">
        <f t="shared" si="13"/>
        <v>66800</v>
      </c>
      <c r="D56" s="48"/>
      <c r="E56" s="48"/>
    </row>
    <row r="57" spans="2:5" x14ac:dyDescent="0.25">
      <c r="B57" t="str">
        <f t="shared" si="13"/>
        <v>RTF Member Support &amp; Administration</v>
      </c>
      <c r="C57" s="66">
        <f t="shared" si="13"/>
        <v>133660</v>
      </c>
      <c r="D57" s="48">
        <f t="shared" si="14"/>
        <v>171900</v>
      </c>
      <c r="E57" s="48">
        <f t="shared" si="15"/>
        <v>179900</v>
      </c>
    </row>
    <row r="58" spans="2:5" x14ac:dyDescent="0.25">
      <c r="B58" t="str">
        <f t="shared" si="13"/>
        <v xml:space="preserve">Website, Database support, Conservation Tracking </v>
      </c>
      <c r="C58" s="66">
        <f t="shared" si="13"/>
        <v>61240</v>
      </c>
      <c r="D58" s="48">
        <f t="shared" si="14"/>
        <v>62300</v>
      </c>
      <c r="E58" s="48">
        <f t="shared" si="15"/>
        <v>55200</v>
      </c>
    </row>
    <row r="59" spans="2:5" x14ac:dyDescent="0.25">
      <c r="B59" t="str">
        <f t="shared" si="13"/>
        <v>RTF Management</v>
      </c>
      <c r="C59" s="66">
        <f t="shared" si="13"/>
        <v>7500</v>
      </c>
      <c r="D59" s="48">
        <f t="shared" si="14"/>
        <v>7200</v>
      </c>
      <c r="E59" s="48">
        <f t="shared" si="15"/>
        <v>4400</v>
      </c>
    </row>
    <row r="78" spans="2:8" x14ac:dyDescent="0.25">
      <c r="B78" t="s">
        <v>40</v>
      </c>
      <c r="C78" t="str">
        <f>C4</f>
        <v>Proposed 2026 Budget</v>
      </c>
      <c r="D78" t="str">
        <f>J4</f>
        <v>Approved Work Plan Budget 2025</v>
      </c>
      <c r="E78" t="str">
        <f>Q4</f>
        <v>Approved Business Plan Budget 2024</v>
      </c>
    </row>
    <row r="79" spans="2:8" x14ac:dyDescent="0.25">
      <c r="B79" t="str">
        <f>B6</f>
        <v>Existing Measure Review &amp; Updates</v>
      </c>
      <c r="C79" s="67">
        <f>D6</f>
        <v>478800</v>
      </c>
      <c r="D79" s="68">
        <f>K6</f>
        <v>478500</v>
      </c>
      <c r="E79" s="68">
        <f>R6</f>
        <v>397400</v>
      </c>
      <c r="F79" s="46"/>
      <c r="G79" s="46"/>
      <c r="H79" s="46"/>
    </row>
    <row r="80" spans="2:8" x14ac:dyDescent="0.25">
      <c r="B80" t="str">
        <f t="shared" ref="B80:B88" si="16">B7</f>
        <v>New Measure Development &amp; Review of Unsolicited Proposals</v>
      </c>
      <c r="C80" s="67">
        <f t="shared" ref="C80:C88" si="17">D7</f>
        <v>435000</v>
      </c>
      <c r="D80" s="68">
        <f t="shared" ref="D80:D88" si="18">K7</f>
        <v>210000</v>
      </c>
      <c r="E80" s="68">
        <f t="shared" ref="E80:E88" si="19">R7</f>
        <v>270400</v>
      </c>
      <c r="F80" s="48"/>
      <c r="G80" s="48"/>
      <c r="H80" s="48"/>
    </row>
    <row r="81" spans="2:8" x14ac:dyDescent="0.25">
      <c r="B81" t="str">
        <f t="shared" si="16"/>
        <v>Standardization of Technical Analysis</v>
      </c>
      <c r="C81" s="67">
        <f t="shared" si="17"/>
        <v>191000</v>
      </c>
      <c r="D81" s="68">
        <f t="shared" si="18"/>
        <v>184500</v>
      </c>
      <c r="E81" s="68">
        <f t="shared" si="19"/>
        <v>198700</v>
      </c>
      <c r="F81" s="48"/>
      <c r="G81" s="48"/>
      <c r="H81" s="48"/>
    </row>
    <row r="82" spans="2:8" x14ac:dyDescent="0.25">
      <c r="B82" t="str">
        <f t="shared" si="16"/>
        <v>Tool Development</v>
      </c>
      <c r="C82" s="67">
        <f t="shared" si="17"/>
        <v>70000</v>
      </c>
      <c r="D82" s="68">
        <f t="shared" si="18"/>
        <v>158000</v>
      </c>
      <c r="E82" s="68">
        <f t="shared" si="19"/>
        <v>124700</v>
      </c>
      <c r="F82" s="48"/>
      <c r="G82" s="48"/>
      <c r="H82" s="48"/>
    </row>
    <row r="83" spans="2:8" x14ac:dyDescent="0.25">
      <c r="B83" t="str">
        <f t="shared" si="16"/>
        <v>Regional Coordination</v>
      </c>
      <c r="C83" s="67">
        <f t="shared" si="17"/>
        <v>91900</v>
      </c>
      <c r="D83" s="68">
        <f t="shared" si="18"/>
        <v>143200</v>
      </c>
      <c r="E83" s="68">
        <f t="shared" si="19"/>
        <v>187600</v>
      </c>
      <c r="F83" s="48"/>
      <c r="G83" s="48"/>
      <c r="H83" s="48"/>
    </row>
    <row r="84" spans="2:8" x14ac:dyDescent="0.25">
      <c r="B84" t="str">
        <f t="shared" si="16"/>
        <v>Demand Response</v>
      </c>
      <c r="C84" s="67">
        <f t="shared" si="17"/>
        <v>78250</v>
      </c>
      <c r="D84" s="68">
        <f t="shared" si="18"/>
        <v>36200</v>
      </c>
      <c r="E84" s="68">
        <f t="shared" si="19"/>
        <v>55200</v>
      </c>
      <c r="F84" s="48"/>
      <c r="G84" s="48"/>
      <c r="H84" s="48"/>
    </row>
    <row r="85" spans="2:8" x14ac:dyDescent="0.25">
      <c r="B85" t="str">
        <f t="shared" si="16"/>
        <v>Planning Measure Research</v>
      </c>
      <c r="C85" s="67">
        <f t="shared" si="17"/>
        <v>10000</v>
      </c>
      <c r="D85" s="68"/>
      <c r="E85" s="68"/>
      <c r="F85" s="48"/>
      <c r="G85" s="48"/>
      <c r="H85" s="48"/>
    </row>
    <row r="86" spans="2:8" x14ac:dyDescent="0.25">
      <c r="B86" t="str">
        <f t="shared" si="16"/>
        <v>RTF Member Support &amp; Administration</v>
      </c>
      <c r="C86" s="67">
        <f t="shared" si="17"/>
        <v>168900</v>
      </c>
      <c r="D86" s="68">
        <f t="shared" si="18"/>
        <v>110000</v>
      </c>
      <c r="E86" s="68">
        <f t="shared" si="19"/>
        <v>124700</v>
      </c>
      <c r="F86" s="48"/>
      <c r="G86" s="48"/>
      <c r="H86" s="48"/>
    </row>
    <row r="87" spans="2:8" x14ac:dyDescent="0.25">
      <c r="B87" t="str">
        <f t="shared" si="16"/>
        <v xml:space="preserve">Website, Database support, Conservation Tracking </v>
      </c>
      <c r="C87" s="67">
        <f t="shared" si="17"/>
        <v>0</v>
      </c>
      <c r="D87" s="68">
        <f t="shared" si="18"/>
        <v>0</v>
      </c>
      <c r="E87" s="68">
        <f t="shared" si="19"/>
        <v>0</v>
      </c>
      <c r="F87" s="48"/>
      <c r="G87" s="48"/>
      <c r="H87" s="48"/>
    </row>
    <row r="88" spans="2:8" x14ac:dyDescent="0.25">
      <c r="B88" t="str">
        <f t="shared" si="16"/>
        <v>RTF Management</v>
      </c>
      <c r="C88" s="67">
        <f t="shared" si="17"/>
        <v>5000</v>
      </c>
      <c r="D88" s="68">
        <f t="shared" si="18"/>
        <v>5000</v>
      </c>
      <c r="E88" s="68">
        <f t="shared" si="19"/>
        <v>0</v>
      </c>
      <c r="F88" s="48"/>
      <c r="G88" s="48"/>
      <c r="H88" s="48"/>
    </row>
  </sheetData>
  <mergeCells count="3">
    <mergeCell ref="C4:G4"/>
    <mergeCell ref="J4:N4"/>
    <mergeCell ref="Q4:U4"/>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E09EE3-7D60-4DF7-B357-ADEF25F89358}">
  <sheetPr codeName="Sheet3"/>
  <dimension ref="B1:AJ96"/>
  <sheetViews>
    <sheetView workbookViewId="0">
      <selection activeCell="K17" sqref="K17:L17"/>
    </sheetView>
  </sheetViews>
  <sheetFormatPr defaultRowHeight="13.2" x14ac:dyDescent="0.25"/>
  <cols>
    <col min="2" max="2" width="59.109375" customWidth="1"/>
    <col min="3" max="8" width="14.109375" customWidth="1"/>
    <col min="10" max="14" width="14.109375" customWidth="1"/>
    <col min="15" max="15" width="8.109375" bestFit="1" customWidth="1"/>
    <col min="17" max="21" width="14.6640625" customWidth="1"/>
    <col min="22" max="22" width="8.109375" bestFit="1" customWidth="1"/>
    <col min="24" max="28" width="14.6640625" customWidth="1"/>
    <col min="29" max="29" width="8.109375" bestFit="1" customWidth="1"/>
    <col min="31" max="35" width="14.6640625" customWidth="1"/>
    <col min="36" max="36" width="11.6640625" bestFit="1" customWidth="1"/>
  </cols>
  <sheetData>
    <row r="1" spans="2:36" ht="18" x14ac:dyDescent="0.35">
      <c r="B1" s="1" t="s">
        <v>372</v>
      </c>
    </row>
    <row r="2" spans="2:36" ht="14.4" x14ac:dyDescent="0.3">
      <c r="B2" s="3" t="str">
        <f>'Table of Contents'!B2</f>
        <v>Final 2026 RTF Work Plan - October 7, 2025</v>
      </c>
    </row>
    <row r="3" spans="2:36" ht="14.4" x14ac:dyDescent="0.3">
      <c r="B3" s="170" t="s">
        <v>635</v>
      </c>
      <c r="F3" s="48"/>
      <c r="M3" s="48"/>
      <c r="T3" s="48"/>
      <c r="AA3" s="48"/>
      <c r="AH3" s="48"/>
      <c r="AI3" s="171"/>
      <c r="AJ3" s="172"/>
    </row>
    <row r="4" spans="2:36" ht="15.6" x14ac:dyDescent="0.3">
      <c r="F4" s="171"/>
      <c r="M4" s="171"/>
      <c r="Q4" s="173"/>
      <c r="R4" s="173" t="s">
        <v>373</v>
      </c>
      <c r="S4" s="174">
        <v>3.5000000000000003E-2</v>
      </c>
      <c r="T4" s="171"/>
      <c r="X4" s="173"/>
      <c r="Y4" s="173" t="s">
        <v>373</v>
      </c>
      <c r="Z4" s="174">
        <v>3.5000000000000003E-2</v>
      </c>
      <c r="AA4" s="171"/>
      <c r="AE4" s="173"/>
      <c r="AF4" s="173" t="s">
        <v>373</v>
      </c>
      <c r="AG4" s="174">
        <v>3.5000000000000003E-2</v>
      </c>
      <c r="AH4" s="171"/>
      <c r="AI4" s="171"/>
    </row>
    <row r="5" spans="2:36" ht="26.25" customHeight="1" x14ac:dyDescent="0.3">
      <c r="B5" s="2"/>
      <c r="C5" s="444" t="s">
        <v>608</v>
      </c>
      <c r="D5" s="445"/>
      <c r="E5" s="445"/>
      <c r="F5" s="445"/>
      <c r="G5" s="446"/>
      <c r="H5" s="2"/>
      <c r="J5" s="444" t="s">
        <v>639</v>
      </c>
      <c r="K5" s="445"/>
      <c r="L5" s="445"/>
      <c r="M5" s="445"/>
      <c r="N5" s="446"/>
      <c r="Q5" s="444" t="s">
        <v>613</v>
      </c>
      <c r="R5" s="445"/>
      <c r="S5" s="445"/>
      <c r="T5" s="445"/>
      <c r="U5" s="446"/>
      <c r="X5" s="444" t="s">
        <v>614</v>
      </c>
      <c r="Y5" s="445"/>
      <c r="Z5" s="445"/>
      <c r="AA5" s="445"/>
      <c r="AB5" s="446"/>
      <c r="AE5" s="444" t="s">
        <v>615</v>
      </c>
      <c r="AF5" s="445"/>
      <c r="AG5" s="445"/>
      <c r="AH5" s="445"/>
      <c r="AI5" s="446"/>
      <c r="AJ5" s="48"/>
    </row>
    <row r="6" spans="2:36" ht="62.4" x14ac:dyDescent="0.3">
      <c r="B6" s="5" t="s">
        <v>3</v>
      </c>
      <c r="C6" s="13" t="s">
        <v>25</v>
      </c>
      <c r="D6" s="13" t="s">
        <v>26</v>
      </c>
      <c r="E6" s="14" t="s">
        <v>27</v>
      </c>
      <c r="F6" s="14" t="s">
        <v>28</v>
      </c>
      <c r="G6" s="15" t="s">
        <v>29</v>
      </c>
      <c r="H6" s="13" t="s">
        <v>30</v>
      </c>
      <c r="I6" s="2"/>
      <c r="J6" s="13" t="s">
        <v>352</v>
      </c>
      <c r="K6" s="13" t="s">
        <v>353</v>
      </c>
      <c r="L6" s="14" t="s">
        <v>354</v>
      </c>
      <c r="M6" s="14" t="s">
        <v>355</v>
      </c>
      <c r="N6" s="15" t="s">
        <v>356</v>
      </c>
      <c r="O6" s="13" t="s">
        <v>30</v>
      </c>
      <c r="P6" s="2"/>
      <c r="Q6" s="13" t="s">
        <v>357</v>
      </c>
      <c r="R6" s="13" t="s">
        <v>358</v>
      </c>
      <c r="S6" s="14" t="s">
        <v>359</v>
      </c>
      <c r="T6" s="14" t="s">
        <v>360</v>
      </c>
      <c r="U6" s="15" t="s">
        <v>361</v>
      </c>
      <c r="V6" s="13" t="s">
        <v>30</v>
      </c>
      <c r="X6" s="13" t="s">
        <v>362</v>
      </c>
      <c r="Y6" s="13" t="s">
        <v>363</v>
      </c>
      <c r="Z6" s="14" t="s">
        <v>364</v>
      </c>
      <c r="AA6" s="14" t="s">
        <v>365</v>
      </c>
      <c r="AB6" s="15" t="s">
        <v>366</v>
      </c>
      <c r="AC6" s="13" t="s">
        <v>30</v>
      </c>
      <c r="AE6" s="13" t="s">
        <v>367</v>
      </c>
      <c r="AF6" s="13" t="s">
        <v>368</v>
      </c>
      <c r="AG6" s="14" t="s">
        <v>369</v>
      </c>
      <c r="AH6" s="14" t="s">
        <v>370</v>
      </c>
      <c r="AI6" s="15" t="s">
        <v>371</v>
      </c>
      <c r="AJ6" s="13" t="s">
        <v>30</v>
      </c>
    </row>
    <row r="7" spans="2:36" ht="31.5" customHeight="1" x14ac:dyDescent="0.3">
      <c r="B7" s="16" t="s">
        <v>6</v>
      </c>
      <c r="C7" s="276">
        <v>159500</v>
      </c>
      <c r="D7" s="276">
        <v>478500</v>
      </c>
      <c r="E7" s="276">
        <v>0</v>
      </c>
      <c r="F7" s="276">
        <v>638000</v>
      </c>
      <c r="G7" s="277">
        <v>29000</v>
      </c>
      <c r="H7" s="19">
        <f t="shared" ref="H7:H16" si="0">F7/$F$17</f>
        <v>0.30290082134548735</v>
      </c>
      <c r="I7" s="22"/>
      <c r="J7" s="276">
        <f>'Category Detail for 2026'!C7</f>
        <v>159600</v>
      </c>
      <c r="K7" s="276">
        <f>'Category Detail for 2026'!D7</f>
        <v>478800</v>
      </c>
      <c r="L7" s="276">
        <f>'Category Detail for 2026'!E7</f>
        <v>0</v>
      </c>
      <c r="M7" s="278">
        <f>'Category Detail for 2026'!F7</f>
        <v>638400</v>
      </c>
      <c r="N7" s="277">
        <f>'Category Detail for 2026'!G7</f>
        <v>29400</v>
      </c>
      <c r="O7" s="19">
        <f>M7/$M$17</f>
        <v>0.27719161130649994</v>
      </c>
      <c r="P7" s="2"/>
      <c r="Q7" s="276">
        <v>182900</v>
      </c>
      <c r="R7" s="276">
        <v>548700</v>
      </c>
      <c r="S7" s="278">
        <v>0</v>
      </c>
      <c r="T7" s="278">
        <v>731600</v>
      </c>
      <c r="U7" s="277">
        <v>34100</v>
      </c>
      <c r="V7" s="19">
        <f t="shared" ref="V7:V16" si="1">T7/$T$17</f>
        <v>0.32423329196950895</v>
      </c>
      <c r="X7" s="276">
        <v>183000</v>
      </c>
      <c r="Y7" s="276">
        <v>549000</v>
      </c>
      <c r="Z7" s="278">
        <v>0</v>
      </c>
      <c r="AA7" s="278">
        <v>732000</v>
      </c>
      <c r="AB7" s="277">
        <v>34500</v>
      </c>
      <c r="AC7" s="19">
        <f t="shared" ref="AC7:AC16" si="2">AA7/$AA$17</f>
        <v>0.31343667037766548</v>
      </c>
      <c r="AE7" s="276">
        <v>138600</v>
      </c>
      <c r="AF7" s="276">
        <v>415800</v>
      </c>
      <c r="AG7" s="278">
        <v>0</v>
      </c>
      <c r="AH7" s="278">
        <v>554400</v>
      </c>
      <c r="AI7" s="277">
        <v>26400</v>
      </c>
      <c r="AJ7" s="19">
        <f t="shared" ref="AJ7:AJ16" si="3">AH7/$AH$17</f>
        <v>0.22936576889661164</v>
      </c>
    </row>
    <row r="8" spans="2:36" ht="31.5" customHeight="1" x14ac:dyDescent="0.3">
      <c r="B8" s="16" t="s">
        <v>9</v>
      </c>
      <c r="C8" s="276">
        <v>16500</v>
      </c>
      <c r="D8" s="276">
        <v>210000</v>
      </c>
      <c r="E8" s="276">
        <v>0</v>
      </c>
      <c r="F8" s="278">
        <v>226500</v>
      </c>
      <c r="G8" s="277">
        <v>3000</v>
      </c>
      <c r="H8" s="19">
        <f t="shared" si="0"/>
        <v>0.10753453923942459</v>
      </c>
      <c r="I8" s="22"/>
      <c r="J8" s="276">
        <f>'Category Detail for 2026'!C13</f>
        <v>57000</v>
      </c>
      <c r="K8" s="276">
        <f>'Category Detail for 2026'!D13</f>
        <v>435000</v>
      </c>
      <c r="L8" s="276">
        <f>'Category Detail for 2026'!E13</f>
        <v>0</v>
      </c>
      <c r="M8" s="278">
        <f>'Category Detail for 2026'!F13</f>
        <v>492000</v>
      </c>
      <c r="N8" s="277">
        <f>'Category Detail for 2026'!G13</f>
        <v>6300</v>
      </c>
      <c r="O8" s="19">
        <f t="shared" ref="O8:O16" si="4">M8/$M$17</f>
        <v>0.21362511397681386</v>
      </c>
      <c r="P8" s="2"/>
      <c r="Q8" s="276">
        <v>17700</v>
      </c>
      <c r="R8" s="276">
        <v>225000</v>
      </c>
      <c r="S8" s="276">
        <v>0</v>
      </c>
      <c r="T8" s="278">
        <v>242700</v>
      </c>
      <c r="U8" s="277">
        <v>3300</v>
      </c>
      <c r="V8" s="19">
        <f t="shared" si="1"/>
        <v>0.10756071618507357</v>
      </c>
      <c r="X8" s="276">
        <v>12200</v>
      </c>
      <c r="Y8" s="276">
        <v>155200</v>
      </c>
      <c r="Z8" s="276">
        <v>0</v>
      </c>
      <c r="AA8" s="278">
        <v>167400</v>
      </c>
      <c r="AB8" s="277">
        <v>2300</v>
      </c>
      <c r="AC8" s="19">
        <f t="shared" si="2"/>
        <v>7.1679369701121862E-2</v>
      </c>
      <c r="AE8" s="276">
        <v>44100</v>
      </c>
      <c r="AF8" s="276">
        <v>562100</v>
      </c>
      <c r="AG8" s="276">
        <v>0</v>
      </c>
      <c r="AH8" s="278">
        <v>606200</v>
      </c>
      <c r="AI8" s="277">
        <v>8400</v>
      </c>
      <c r="AJ8" s="19">
        <f t="shared" si="3"/>
        <v>0.25079640891977989</v>
      </c>
    </row>
    <row r="9" spans="2:36" ht="31.5" customHeight="1" x14ac:dyDescent="0.3">
      <c r="B9" s="16" t="s">
        <v>10</v>
      </c>
      <c r="C9" s="276">
        <v>0</v>
      </c>
      <c r="D9" s="276">
        <v>184500</v>
      </c>
      <c r="E9" s="276">
        <v>0</v>
      </c>
      <c r="F9" s="278">
        <v>184500</v>
      </c>
      <c r="G9" s="277">
        <v>0</v>
      </c>
      <c r="H9" s="19">
        <f t="shared" si="0"/>
        <v>8.7594359777809425E-2</v>
      </c>
      <c r="I9" s="22"/>
      <c r="J9" s="276">
        <f>'Category Detail for 2026'!C20</f>
        <v>5000</v>
      </c>
      <c r="K9" s="276">
        <f>'Category Detail for 2026'!D20</f>
        <v>191000</v>
      </c>
      <c r="L9" s="276">
        <f>'Category Detail for 2026'!E20</f>
        <v>0</v>
      </c>
      <c r="M9" s="278">
        <f>'Category Detail for 2026'!F20</f>
        <v>196000</v>
      </c>
      <c r="N9" s="277">
        <f>'Category Detail for 2026'!G20</f>
        <v>5000</v>
      </c>
      <c r="O9" s="19">
        <f t="shared" si="4"/>
        <v>8.5102687681820152E-2</v>
      </c>
      <c r="P9" s="2"/>
      <c r="Q9" s="276">
        <v>15000</v>
      </c>
      <c r="R9" s="276">
        <v>207700</v>
      </c>
      <c r="S9" s="276">
        <v>0</v>
      </c>
      <c r="T9" s="278">
        <v>222700</v>
      </c>
      <c r="U9" s="277">
        <v>0</v>
      </c>
      <c r="V9" s="19">
        <f t="shared" si="1"/>
        <v>9.8697039531997877E-2</v>
      </c>
      <c r="X9" s="276">
        <v>0</v>
      </c>
      <c r="Y9" s="276">
        <v>204600</v>
      </c>
      <c r="Z9" s="276">
        <v>0</v>
      </c>
      <c r="AA9" s="278">
        <v>204600</v>
      </c>
      <c r="AB9" s="277">
        <v>0</v>
      </c>
      <c r="AC9" s="19">
        <f t="shared" si="2"/>
        <v>8.760811852359339E-2</v>
      </c>
      <c r="AE9" s="276">
        <v>0</v>
      </c>
      <c r="AF9" s="276">
        <v>220700</v>
      </c>
      <c r="AG9" s="276">
        <v>0</v>
      </c>
      <c r="AH9" s="278">
        <v>220700</v>
      </c>
      <c r="AI9" s="277">
        <v>500</v>
      </c>
      <c r="AJ9" s="19">
        <f t="shared" si="3"/>
        <v>9.1307765504116498E-2</v>
      </c>
    </row>
    <row r="10" spans="2:36" ht="31.5" customHeight="1" x14ac:dyDescent="0.3">
      <c r="B10" s="23" t="s">
        <v>11</v>
      </c>
      <c r="C10" s="279">
        <v>30000</v>
      </c>
      <c r="D10" s="279">
        <v>158000</v>
      </c>
      <c r="E10" s="279">
        <v>0</v>
      </c>
      <c r="F10" s="280">
        <v>188000</v>
      </c>
      <c r="G10" s="281">
        <v>11250</v>
      </c>
      <c r="H10" s="27">
        <f t="shared" si="0"/>
        <v>8.9256041399610686E-2</v>
      </c>
      <c r="I10" s="20"/>
      <c r="J10" s="279">
        <f>'Category Detail for 2026'!C24</f>
        <v>36000</v>
      </c>
      <c r="K10" s="279">
        <f>'Category Detail for 2026'!D24</f>
        <v>70000</v>
      </c>
      <c r="L10" s="279">
        <f>'Category Detail for 2026'!E24</f>
        <v>0</v>
      </c>
      <c r="M10" s="280">
        <f>'Category Detail for 2026'!F24</f>
        <v>106000</v>
      </c>
      <c r="N10" s="281">
        <f>'Category Detail for 2026'!G24</f>
        <v>29160</v>
      </c>
      <c r="O10" s="27">
        <f t="shared" si="4"/>
        <v>4.6024922929963963E-2</v>
      </c>
      <c r="P10" s="2"/>
      <c r="Q10" s="279">
        <v>35000</v>
      </c>
      <c r="R10" s="279">
        <v>70000</v>
      </c>
      <c r="S10" s="279">
        <v>0</v>
      </c>
      <c r="T10" s="280">
        <v>105000</v>
      </c>
      <c r="U10" s="281">
        <v>4000</v>
      </c>
      <c r="V10" s="27">
        <f t="shared" si="1"/>
        <v>4.6534302428647402E-2</v>
      </c>
      <c r="X10" s="279">
        <v>135600</v>
      </c>
      <c r="Y10" s="279">
        <v>37000</v>
      </c>
      <c r="Z10" s="279">
        <v>0</v>
      </c>
      <c r="AA10" s="280">
        <v>172600</v>
      </c>
      <c r="AB10" s="281">
        <v>1500</v>
      </c>
      <c r="AC10" s="27">
        <f t="shared" si="2"/>
        <v>7.3905968998886698E-2</v>
      </c>
      <c r="AE10" s="279">
        <v>40000</v>
      </c>
      <c r="AF10" s="279">
        <v>40000</v>
      </c>
      <c r="AG10" s="279">
        <v>0</v>
      </c>
      <c r="AH10" s="280">
        <v>80000</v>
      </c>
      <c r="AI10" s="281">
        <v>4800</v>
      </c>
      <c r="AJ10" s="28">
        <f t="shared" si="3"/>
        <v>3.3097513549294612E-2</v>
      </c>
    </row>
    <row r="11" spans="2:36" ht="31.5" customHeight="1" x14ac:dyDescent="0.3">
      <c r="B11" s="23" t="s">
        <v>12</v>
      </c>
      <c r="C11" s="279">
        <v>81500</v>
      </c>
      <c r="D11" s="279">
        <v>143200</v>
      </c>
      <c r="E11" s="279">
        <v>0</v>
      </c>
      <c r="F11" s="280">
        <v>224700</v>
      </c>
      <c r="G11" s="281">
        <v>30150</v>
      </c>
      <c r="H11" s="27">
        <f t="shared" si="0"/>
        <v>0.10667996011964108</v>
      </c>
      <c r="I11" s="22"/>
      <c r="J11" s="279">
        <f>'Category Detail for 2026'!C28</f>
        <v>70750</v>
      </c>
      <c r="K11" s="279">
        <f>'Category Detail for 2026'!D28</f>
        <v>91900</v>
      </c>
      <c r="L11" s="279">
        <f>'Category Detail for 2026'!E28</f>
        <v>0</v>
      </c>
      <c r="M11" s="280">
        <f>'Category Detail for 2026'!F28</f>
        <v>162650</v>
      </c>
      <c r="N11" s="281">
        <f>'Category Detail for 2026'!G28</f>
        <v>30150</v>
      </c>
      <c r="O11" s="27">
        <f t="shared" si="4"/>
        <v>7.0622204854326784E-2</v>
      </c>
      <c r="P11" s="2"/>
      <c r="Q11" s="279">
        <v>150000</v>
      </c>
      <c r="R11" s="279">
        <v>119500</v>
      </c>
      <c r="S11" s="279">
        <v>0</v>
      </c>
      <c r="T11" s="280">
        <v>269500</v>
      </c>
      <c r="U11" s="281">
        <v>55600</v>
      </c>
      <c r="V11" s="27">
        <f t="shared" si="1"/>
        <v>0.119438042900195</v>
      </c>
      <c r="X11" s="279">
        <v>190000</v>
      </c>
      <c r="Y11" s="279">
        <v>182900</v>
      </c>
      <c r="Z11" s="279">
        <v>0</v>
      </c>
      <c r="AA11" s="280">
        <v>372900</v>
      </c>
      <c r="AB11" s="281">
        <v>55000</v>
      </c>
      <c r="AC11" s="27">
        <f t="shared" si="2"/>
        <v>0.15967286118009763</v>
      </c>
      <c r="AE11" s="279">
        <v>135000</v>
      </c>
      <c r="AF11" s="279">
        <v>142000</v>
      </c>
      <c r="AG11" s="279">
        <v>0</v>
      </c>
      <c r="AH11" s="280">
        <v>277000</v>
      </c>
      <c r="AI11" s="281">
        <v>65100</v>
      </c>
      <c r="AJ11" s="28">
        <f t="shared" si="3"/>
        <v>0.11460014066443258</v>
      </c>
    </row>
    <row r="12" spans="2:36" ht="31.5" customHeight="1" x14ac:dyDescent="0.3">
      <c r="B12" s="29" t="s">
        <v>13</v>
      </c>
      <c r="C12" s="282">
        <v>40000</v>
      </c>
      <c r="D12" s="282">
        <v>36200</v>
      </c>
      <c r="E12" s="282">
        <v>0</v>
      </c>
      <c r="F12" s="283">
        <v>76200</v>
      </c>
      <c r="G12" s="284">
        <v>13000</v>
      </c>
      <c r="H12" s="33">
        <f t="shared" si="0"/>
        <v>3.6177182737501777E-2</v>
      </c>
      <c r="I12" s="22"/>
      <c r="J12" s="282">
        <f>'Category Detail for 2026'!C33</f>
        <v>5700</v>
      </c>
      <c r="K12" s="282">
        <f>'Category Detail for 2026'!D33</f>
        <v>78250</v>
      </c>
      <c r="L12" s="282">
        <f>'Category Detail for 2026'!E33</f>
        <v>0</v>
      </c>
      <c r="M12" s="283">
        <f>'Category Detail for 2026'!F33</f>
        <v>83950</v>
      </c>
      <c r="N12" s="284">
        <f>'Category Detail for 2026'!G33</f>
        <v>21680</v>
      </c>
      <c r="O12" s="33">
        <f t="shared" si="4"/>
        <v>3.6450870565759193E-2</v>
      </c>
      <c r="P12" s="2"/>
      <c r="Q12" s="282">
        <v>80000</v>
      </c>
      <c r="R12" s="282">
        <v>13400</v>
      </c>
      <c r="S12" s="282">
        <v>0</v>
      </c>
      <c r="T12" s="283">
        <v>93400</v>
      </c>
      <c r="U12" s="284">
        <v>900</v>
      </c>
      <c r="V12" s="33">
        <f t="shared" si="1"/>
        <v>4.1393369969863501E-2</v>
      </c>
      <c r="X12" s="282">
        <v>60000</v>
      </c>
      <c r="Y12" s="282">
        <v>10000</v>
      </c>
      <c r="Z12" s="282">
        <v>0</v>
      </c>
      <c r="AA12" s="283">
        <v>70000</v>
      </c>
      <c r="AB12" s="284">
        <v>9300</v>
      </c>
      <c r="AC12" s="33">
        <f t="shared" si="2"/>
        <v>2.9973452085295879E-2</v>
      </c>
      <c r="AE12" s="282">
        <v>28300</v>
      </c>
      <c r="AF12" s="282">
        <v>24500</v>
      </c>
      <c r="AG12" s="282">
        <v>0</v>
      </c>
      <c r="AH12" s="283">
        <v>52800</v>
      </c>
      <c r="AI12" s="284">
        <v>4200</v>
      </c>
      <c r="AJ12" s="33">
        <f t="shared" si="3"/>
        <v>2.1844358942534441E-2</v>
      </c>
    </row>
    <row r="13" spans="2:36" ht="31.5" customHeight="1" x14ac:dyDescent="0.3">
      <c r="B13" s="29" t="s">
        <v>41</v>
      </c>
      <c r="C13" s="282">
        <v>0</v>
      </c>
      <c r="D13" s="282">
        <v>50000</v>
      </c>
      <c r="E13" s="282">
        <v>0</v>
      </c>
      <c r="F13" s="283">
        <v>50000</v>
      </c>
      <c r="G13" s="284">
        <v>6000</v>
      </c>
      <c r="H13" s="33">
        <f t="shared" si="0"/>
        <v>2.3738308882875182E-2</v>
      </c>
      <c r="I13" s="22"/>
      <c r="J13" s="282">
        <f>'Category Detail for 2026'!C38</f>
        <v>66800</v>
      </c>
      <c r="K13" s="282">
        <f>'Category Detail for 2026'!D38</f>
        <v>10000</v>
      </c>
      <c r="L13" s="282">
        <f>'Category Detail for 2026'!E38</f>
        <v>0</v>
      </c>
      <c r="M13" s="282">
        <f>'Category Detail for 2026'!F38</f>
        <v>76800</v>
      </c>
      <c r="N13" s="284">
        <f>'Category Detail for 2026'!G38</f>
        <v>0</v>
      </c>
      <c r="O13" s="33">
        <f t="shared" si="4"/>
        <v>3.3346359254917288E-2</v>
      </c>
      <c r="P13" s="2"/>
      <c r="Q13" s="282">
        <v>48200</v>
      </c>
      <c r="R13" s="282">
        <v>5400</v>
      </c>
      <c r="S13" s="282">
        <v>0</v>
      </c>
      <c r="T13" s="282">
        <v>53600</v>
      </c>
      <c r="U13" s="284">
        <v>6000</v>
      </c>
      <c r="V13" s="33">
        <f t="shared" si="1"/>
        <v>2.3754653430242866E-2</v>
      </c>
      <c r="X13" s="282">
        <v>49900</v>
      </c>
      <c r="Y13" s="282">
        <v>5600</v>
      </c>
      <c r="Z13" s="282">
        <v>0</v>
      </c>
      <c r="AA13" s="282">
        <v>55500</v>
      </c>
      <c r="AB13" s="284">
        <v>6000</v>
      </c>
      <c r="AC13" s="33">
        <f t="shared" si="2"/>
        <v>2.3764665581913164E-2</v>
      </c>
      <c r="AE13" s="282">
        <v>51600</v>
      </c>
      <c r="AF13" s="282">
        <v>5800</v>
      </c>
      <c r="AG13" s="282">
        <v>0</v>
      </c>
      <c r="AH13" s="282">
        <v>57400</v>
      </c>
      <c r="AI13" s="284">
        <v>6000</v>
      </c>
      <c r="AJ13" s="33">
        <f t="shared" si="3"/>
        <v>2.3747465971618881E-2</v>
      </c>
    </row>
    <row r="14" spans="2:36" ht="31.5" customHeight="1" x14ac:dyDescent="0.3">
      <c r="B14" s="34" t="s">
        <v>14</v>
      </c>
      <c r="C14" s="285">
        <v>171900</v>
      </c>
      <c r="D14" s="285">
        <v>110000</v>
      </c>
      <c r="E14" s="285">
        <v>0</v>
      </c>
      <c r="F14" s="286">
        <v>281900</v>
      </c>
      <c r="G14" s="287">
        <v>15000</v>
      </c>
      <c r="H14" s="38">
        <f t="shared" si="0"/>
        <v>0.13383658548165028</v>
      </c>
      <c r="I14" s="22"/>
      <c r="J14" s="285">
        <f>'Category Detail for 2026'!C40</f>
        <v>61240</v>
      </c>
      <c r="K14" s="285">
        <f>'Category Detail for 2026'!D40</f>
        <v>0</v>
      </c>
      <c r="L14" s="285">
        <f>'Category Detail for 2026'!E40</f>
        <v>0</v>
      </c>
      <c r="M14" s="286">
        <f>'Category Detail for 2026'!F40</f>
        <v>61240</v>
      </c>
      <c r="N14" s="287">
        <f>'Category Detail for 2026'!G40</f>
        <v>29000</v>
      </c>
      <c r="O14" s="38">
        <f t="shared" si="4"/>
        <v>2.6590247926707482E-2</v>
      </c>
      <c r="P14" s="2"/>
      <c r="Q14" s="285">
        <v>175100</v>
      </c>
      <c r="R14" s="285">
        <v>110000</v>
      </c>
      <c r="S14" s="285">
        <v>0</v>
      </c>
      <c r="T14" s="286">
        <v>285100</v>
      </c>
      <c r="U14" s="287">
        <v>15000</v>
      </c>
      <c r="V14" s="38">
        <f t="shared" si="1"/>
        <v>0.12635171068959405</v>
      </c>
      <c r="X14" s="285">
        <v>186100</v>
      </c>
      <c r="Y14" s="285">
        <v>110000</v>
      </c>
      <c r="Z14" s="285">
        <v>0</v>
      </c>
      <c r="AA14" s="286">
        <v>296100</v>
      </c>
      <c r="AB14" s="287">
        <v>15000</v>
      </c>
      <c r="AC14" s="38">
        <f t="shared" si="2"/>
        <v>0.12678770232080158</v>
      </c>
      <c r="AE14" s="285">
        <v>188500</v>
      </c>
      <c r="AF14" s="285">
        <v>110000</v>
      </c>
      <c r="AG14" s="285">
        <v>0</v>
      </c>
      <c r="AH14" s="286">
        <v>298500</v>
      </c>
      <c r="AI14" s="287">
        <v>15000</v>
      </c>
      <c r="AJ14" s="38">
        <f t="shared" si="3"/>
        <v>0.12349509743080551</v>
      </c>
    </row>
    <row r="15" spans="2:36" ht="31.5" customHeight="1" x14ac:dyDescent="0.3">
      <c r="B15" s="34" t="s">
        <v>17</v>
      </c>
      <c r="C15" s="285">
        <v>62300</v>
      </c>
      <c r="D15" s="285">
        <v>0</v>
      </c>
      <c r="E15" s="285">
        <v>0</v>
      </c>
      <c r="F15" s="286">
        <v>62300</v>
      </c>
      <c r="G15" s="287">
        <v>45000</v>
      </c>
      <c r="H15" s="38">
        <f t="shared" si="0"/>
        <v>2.9577932868062481E-2</v>
      </c>
      <c r="I15" s="20"/>
      <c r="J15" s="285">
        <f>'Category Detail for 2026'!C43</f>
        <v>133660</v>
      </c>
      <c r="K15" s="285">
        <f>'Category Detail for 2026'!D43</f>
        <v>168900</v>
      </c>
      <c r="L15" s="285">
        <f>'Category Detail for 2026'!E43</f>
        <v>0</v>
      </c>
      <c r="M15" s="286">
        <f>'Category Detail for 2026'!F43</f>
        <v>302560</v>
      </c>
      <c r="N15" s="287">
        <f>'Category Detail for 2026'!G43</f>
        <v>15000</v>
      </c>
      <c r="O15" s="38">
        <f t="shared" si="4"/>
        <v>0.13137076114801788</v>
      </c>
      <c r="P15" s="2"/>
      <c r="Q15" s="285">
        <v>66800</v>
      </c>
      <c r="R15" s="285">
        <v>0</v>
      </c>
      <c r="S15" s="285">
        <v>0</v>
      </c>
      <c r="T15" s="286">
        <v>66800</v>
      </c>
      <c r="U15" s="287">
        <v>47500</v>
      </c>
      <c r="V15" s="38">
        <f t="shared" si="1"/>
        <v>2.9604680021272825E-2</v>
      </c>
      <c r="X15" s="285">
        <v>69100</v>
      </c>
      <c r="Y15" s="285">
        <v>0</v>
      </c>
      <c r="Z15" s="285">
        <v>0</v>
      </c>
      <c r="AA15" s="286">
        <v>69100</v>
      </c>
      <c r="AB15" s="287">
        <v>48000</v>
      </c>
      <c r="AC15" s="38">
        <f t="shared" si="2"/>
        <v>2.9588079129913507E-2</v>
      </c>
      <c r="AE15" s="285">
        <v>71500</v>
      </c>
      <c r="AF15" s="285">
        <v>0</v>
      </c>
      <c r="AG15" s="285">
        <v>0</v>
      </c>
      <c r="AH15" s="286">
        <v>71500</v>
      </c>
      <c r="AI15" s="287">
        <v>49000</v>
      </c>
      <c r="AJ15" s="38">
        <f t="shared" si="3"/>
        <v>2.9580902734682057E-2</v>
      </c>
    </row>
    <row r="16" spans="2:36" ht="31.5" customHeight="1" x14ac:dyDescent="0.3">
      <c r="B16" s="34" t="s">
        <v>15</v>
      </c>
      <c r="C16" s="285">
        <v>7200</v>
      </c>
      <c r="D16" s="285">
        <v>5000</v>
      </c>
      <c r="E16" s="285">
        <v>162000</v>
      </c>
      <c r="F16" s="286">
        <v>174200</v>
      </c>
      <c r="G16" s="287">
        <v>52500</v>
      </c>
      <c r="H16" s="38">
        <f t="shared" si="0"/>
        <v>8.2704268147937146E-2</v>
      </c>
      <c r="I16" s="22"/>
      <c r="J16" s="285">
        <f>'Category Detail for 2026'!C46</f>
        <v>7500</v>
      </c>
      <c r="K16" s="285">
        <f>'Category Detail for 2026'!D46</f>
        <v>5000</v>
      </c>
      <c r="L16" s="285">
        <f>'Category Detail for 2026'!E46</f>
        <v>171000</v>
      </c>
      <c r="M16" s="286">
        <f>'Category Detail for 2026'!F46</f>
        <v>183500</v>
      </c>
      <c r="N16" s="287">
        <f>'Category Detail for 2026'!G46</f>
        <v>39310</v>
      </c>
      <c r="O16" s="38">
        <f t="shared" si="4"/>
        <v>7.9675220355173465E-2</v>
      </c>
      <c r="P16" s="2"/>
      <c r="Q16" s="285">
        <v>7800</v>
      </c>
      <c r="R16" s="285">
        <v>5000</v>
      </c>
      <c r="S16" s="285">
        <v>173200</v>
      </c>
      <c r="T16" s="286">
        <v>186000</v>
      </c>
      <c r="U16" s="287">
        <v>53100</v>
      </c>
      <c r="V16" s="38">
        <f t="shared" si="1"/>
        <v>8.2432192873603968E-2</v>
      </c>
      <c r="X16" s="285">
        <v>8100</v>
      </c>
      <c r="Y16" s="285">
        <v>5000</v>
      </c>
      <c r="Z16" s="285">
        <v>182100</v>
      </c>
      <c r="AA16" s="286">
        <v>195200</v>
      </c>
      <c r="AB16" s="287">
        <v>55600</v>
      </c>
      <c r="AC16" s="38">
        <f t="shared" si="2"/>
        <v>8.3583112100710802E-2</v>
      </c>
      <c r="AE16" s="285">
        <v>8400</v>
      </c>
      <c r="AF16" s="285">
        <v>5000</v>
      </c>
      <c r="AG16" s="285">
        <v>185200</v>
      </c>
      <c r="AH16" s="286">
        <v>198600</v>
      </c>
      <c r="AI16" s="287">
        <v>55800</v>
      </c>
      <c r="AJ16" s="38">
        <f t="shared" si="3"/>
        <v>8.2164577386123872E-2</v>
      </c>
    </row>
    <row r="17" spans="2:36" ht="38.25" customHeight="1" x14ac:dyDescent="0.3">
      <c r="B17" s="39" t="s">
        <v>37</v>
      </c>
      <c r="C17" s="288">
        <v>568900</v>
      </c>
      <c r="D17" s="288">
        <v>1375400</v>
      </c>
      <c r="E17" s="288">
        <v>162000</v>
      </c>
      <c r="F17" s="289">
        <v>2106300</v>
      </c>
      <c r="G17" s="290">
        <v>204900</v>
      </c>
      <c r="H17" s="43">
        <f t="shared" ref="H17" si="5">SUM(H7:H16)</f>
        <v>1</v>
      </c>
      <c r="I17" s="22"/>
      <c r="J17" s="288">
        <f>SUM(J7:J16)</f>
        <v>603250</v>
      </c>
      <c r="K17" s="288">
        <f t="shared" ref="K17:L17" si="6">SUM(K7:K16)</f>
        <v>1528850</v>
      </c>
      <c r="L17" s="288">
        <f t="shared" si="6"/>
        <v>171000</v>
      </c>
      <c r="M17" s="289">
        <f>SUM(M7:M16)</f>
        <v>2303100</v>
      </c>
      <c r="N17" s="290">
        <f>SUM(N7:N16)</f>
        <v>205000</v>
      </c>
      <c r="O17" s="43">
        <f>SUM(O7:O16)</f>
        <v>1</v>
      </c>
      <c r="P17" s="2"/>
      <c r="Q17" s="288">
        <v>778500</v>
      </c>
      <c r="R17" s="288">
        <v>1304700</v>
      </c>
      <c r="S17" s="288">
        <v>173200</v>
      </c>
      <c r="T17" s="291">
        <v>2256400</v>
      </c>
      <c r="U17" s="292">
        <v>219500</v>
      </c>
      <c r="V17" s="43">
        <f t="shared" ref="V17" si="7">SUM(V7:V16)</f>
        <v>1</v>
      </c>
      <c r="X17" s="288">
        <v>894000</v>
      </c>
      <c r="Y17" s="288">
        <v>1259300</v>
      </c>
      <c r="Z17" s="288">
        <v>182100</v>
      </c>
      <c r="AA17" s="291">
        <v>2335400</v>
      </c>
      <c r="AB17" s="292">
        <v>227200</v>
      </c>
      <c r="AC17" s="43">
        <f t="shared" ref="AC17" si="8">SUM(AC7:AC16)</f>
        <v>1</v>
      </c>
      <c r="AE17" s="288">
        <v>706000</v>
      </c>
      <c r="AF17" s="288">
        <v>1525900</v>
      </c>
      <c r="AG17" s="288">
        <v>185200</v>
      </c>
      <c r="AH17" s="291">
        <v>2417100</v>
      </c>
      <c r="AI17" s="292">
        <v>235200</v>
      </c>
      <c r="AJ17" s="43">
        <f t="shared" ref="AJ17" si="9">SUM(AJ7:AJ16)</f>
        <v>1</v>
      </c>
    </row>
    <row r="18" spans="2:36" x14ac:dyDescent="0.25">
      <c r="B18" s="255" t="s">
        <v>93</v>
      </c>
      <c r="C18" s="255"/>
      <c r="D18" s="256">
        <f>D17/200000</f>
        <v>6.8769999999999998</v>
      </c>
      <c r="E18" s="256">
        <v>1</v>
      </c>
      <c r="F18" s="255"/>
      <c r="G18" s="256">
        <f>'NWPCC In Kind'!E4</f>
        <v>1</v>
      </c>
      <c r="H18" s="255"/>
      <c r="J18" s="255"/>
      <c r="K18" s="256">
        <f>K17/200000</f>
        <v>7.6442500000000004</v>
      </c>
      <c r="L18" s="256">
        <v>1</v>
      </c>
      <c r="M18" s="255"/>
      <c r="N18" s="256">
        <f>'NWPCC In Kind'!L4</f>
        <v>0</v>
      </c>
      <c r="O18" s="255"/>
      <c r="Q18" s="255"/>
      <c r="R18" s="256">
        <f>R17/200000</f>
        <v>6.5235000000000003</v>
      </c>
      <c r="S18" s="256">
        <v>1</v>
      </c>
      <c r="T18" s="255"/>
      <c r="U18" s="256">
        <f>'NWPCC In Kind'!S4</f>
        <v>0</v>
      </c>
      <c r="V18" s="255"/>
      <c r="X18" s="255"/>
      <c r="Y18" s="256">
        <f>Y17/200000</f>
        <v>6.2965</v>
      </c>
      <c r="Z18" s="256">
        <v>1</v>
      </c>
      <c r="AA18" s="255"/>
      <c r="AB18" s="256">
        <f>'NWPCC In Kind'!Z4</f>
        <v>0</v>
      </c>
      <c r="AC18" s="255"/>
      <c r="AE18" s="255"/>
      <c r="AF18" s="256">
        <f>AF17/200000</f>
        <v>7.6295000000000002</v>
      </c>
      <c r="AG18" s="256">
        <v>1</v>
      </c>
      <c r="AH18" s="255"/>
      <c r="AI18" s="256">
        <f>'NWPCC In Kind'!AG4</f>
        <v>0</v>
      </c>
      <c r="AJ18" s="255"/>
    </row>
    <row r="21" spans="2:36" ht="39.6" x14ac:dyDescent="0.25">
      <c r="B21" s="261" t="s">
        <v>475</v>
      </c>
      <c r="C21" s="262" t="s">
        <v>385</v>
      </c>
      <c r="D21" s="262" t="s">
        <v>386</v>
      </c>
      <c r="E21" s="262" t="s">
        <v>118</v>
      </c>
      <c r="F21" s="262" t="s">
        <v>387</v>
      </c>
      <c r="G21" s="262" t="s">
        <v>476</v>
      </c>
      <c r="J21" s="261" t="s">
        <v>475</v>
      </c>
      <c r="K21" s="262" t="s">
        <v>483</v>
      </c>
      <c r="L21" s="262" t="s">
        <v>482</v>
      </c>
    </row>
    <row r="22" spans="2:36" x14ac:dyDescent="0.25">
      <c r="B22" s="255">
        <v>2025</v>
      </c>
      <c r="C22" s="258">
        <f>C17</f>
        <v>568900</v>
      </c>
      <c r="D22" s="258">
        <f t="shared" ref="D22:G22" si="10">D17</f>
        <v>1375400</v>
      </c>
      <c r="E22" s="258">
        <f t="shared" si="10"/>
        <v>162000</v>
      </c>
      <c r="F22" s="258">
        <f t="shared" si="10"/>
        <v>2106300</v>
      </c>
      <c r="G22" s="258">
        <f t="shared" si="10"/>
        <v>204900</v>
      </c>
      <c r="J22" s="255">
        <v>2025</v>
      </c>
      <c r="K22" s="265"/>
      <c r="L22" s="265"/>
    </row>
    <row r="23" spans="2:36" x14ac:dyDescent="0.25">
      <c r="B23" s="255">
        <v>2026</v>
      </c>
      <c r="C23" s="258">
        <f>J17</f>
        <v>603250</v>
      </c>
      <c r="D23" s="258">
        <f t="shared" ref="D23:G23" si="11">K17</f>
        <v>1528850</v>
      </c>
      <c r="E23" s="258">
        <f t="shared" si="11"/>
        <v>171000</v>
      </c>
      <c r="F23" s="258">
        <f t="shared" si="11"/>
        <v>2303100</v>
      </c>
      <c r="G23" s="258">
        <f t="shared" si="11"/>
        <v>205000</v>
      </c>
      <c r="J23" s="255">
        <v>2026</v>
      </c>
      <c r="K23" s="258">
        <f>F23-F22</f>
        <v>196800</v>
      </c>
      <c r="L23" s="258">
        <f>F23-$F$22</f>
        <v>196800</v>
      </c>
    </row>
    <row r="24" spans="2:36" x14ac:dyDescent="0.25">
      <c r="B24" s="255">
        <v>2027</v>
      </c>
      <c r="C24" s="258">
        <f>Q17</f>
        <v>778500</v>
      </c>
      <c r="D24" s="258">
        <f t="shared" ref="D24:G24" si="12">R17</f>
        <v>1304700</v>
      </c>
      <c r="E24" s="258">
        <f t="shared" si="12"/>
        <v>173200</v>
      </c>
      <c r="F24" s="258">
        <f t="shared" si="12"/>
        <v>2256400</v>
      </c>
      <c r="G24" s="258">
        <f t="shared" si="12"/>
        <v>219500</v>
      </c>
      <c r="J24" s="255">
        <v>2027</v>
      </c>
      <c r="K24" s="258">
        <f t="shared" ref="K24:K25" si="13">F24-F23</f>
        <v>-46700</v>
      </c>
      <c r="L24" s="258">
        <f>F24-$F$22</f>
        <v>150100</v>
      </c>
    </row>
    <row r="25" spans="2:36" x14ac:dyDescent="0.25">
      <c r="B25" s="255">
        <v>2028</v>
      </c>
      <c r="C25" s="258">
        <f>X17</f>
        <v>894000</v>
      </c>
      <c r="D25" s="258">
        <f t="shared" ref="D25:G25" si="14">Y17</f>
        <v>1259300</v>
      </c>
      <c r="E25" s="258">
        <f t="shared" si="14"/>
        <v>182100</v>
      </c>
      <c r="F25" s="258">
        <f t="shared" si="14"/>
        <v>2335400</v>
      </c>
      <c r="G25" s="258">
        <f t="shared" si="14"/>
        <v>227200</v>
      </c>
      <c r="J25" s="255">
        <v>2028</v>
      </c>
      <c r="K25" s="258">
        <f t="shared" si="13"/>
        <v>79000</v>
      </c>
      <c r="L25" s="258">
        <f t="shared" ref="L25:L26" si="15">F25-$F$22</f>
        <v>229100</v>
      </c>
    </row>
    <row r="26" spans="2:36" x14ac:dyDescent="0.25">
      <c r="B26" s="255">
        <v>2029</v>
      </c>
      <c r="C26" s="258">
        <f>AE17</f>
        <v>706000</v>
      </c>
      <c r="D26" s="258">
        <f t="shared" ref="D26:G26" si="16">AF17</f>
        <v>1525900</v>
      </c>
      <c r="E26" s="258">
        <f t="shared" si="16"/>
        <v>185200</v>
      </c>
      <c r="F26" s="258">
        <f t="shared" si="16"/>
        <v>2417100</v>
      </c>
      <c r="G26" s="258">
        <f t="shared" si="16"/>
        <v>235200</v>
      </c>
      <c r="J26" s="255">
        <v>2029</v>
      </c>
      <c r="K26" s="258">
        <f>F26-F25</f>
        <v>81700</v>
      </c>
      <c r="L26" s="258">
        <f t="shared" si="15"/>
        <v>310800</v>
      </c>
    </row>
    <row r="27" spans="2:36" x14ac:dyDescent="0.25">
      <c r="B27" s="263" t="s">
        <v>477</v>
      </c>
      <c r="C27" s="264">
        <f>SUM(C22:C26)/SUM($F$22:$F$26)</f>
        <v>0.3109613515146738</v>
      </c>
      <c r="D27" s="264">
        <f>SUM(D22:D26)/SUM($F$22:$F$26)</f>
        <v>0.61253864410639058</v>
      </c>
      <c r="E27" s="264">
        <f>SUM(E22:E26)/SUM($F$22:$F$26)</f>
        <v>7.6500004378935574E-2</v>
      </c>
      <c r="F27" s="264">
        <f>SUM(F22:F26)/SUM($F$22:$F$26)</f>
        <v>1</v>
      </c>
      <c r="G27" s="264">
        <f>SUM(G22:G26)/SUM($F$22:$F$26)</f>
        <v>9.5618437070316947E-2</v>
      </c>
      <c r="J27" s="263" t="s">
        <v>477</v>
      </c>
      <c r="K27" s="264">
        <f>SUM(K22:K26)/SUM($F$22:$F$26)</f>
        <v>2.7219463492814167E-2</v>
      </c>
      <c r="L27" s="264">
        <f>SUM(L22:L26)/SUM($F$22:$F$26)</f>
        <v>7.7664801240114559E-2</v>
      </c>
    </row>
    <row r="48" spans="2:7" ht="39.6" x14ac:dyDescent="0.25">
      <c r="B48" s="259" t="s">
        <v>478</v>
      </c>
      <c r="C48" s="260" t="s">
        <v>479</v>
      </c>
      <c r="D48" s="260" t="s">
        <v>480</v>
      </c>
      <c r="E48" s="260" t="s">
        <v>13</v>
      </c>
      <c r="F48" s="260" t="s">
        <v>41</v>
      </c>
      <c r="G48" s="260" t="s">
        <v>15</v>
      </c>
    </row>
    <row r="49" spans="2:7" x14ac:dyDescent="0.25">
      <c r="B49" s="255">
        <v>2025</v>
      </c>
      <c r="C49" s="258">
        <f>SUM(F7:F9)</f>
        <v>1049000</v>
      </c>
      <c r="D49" s="258">
        <f>SUM(F10:F11)</f>
        <v>412700</v>
      </c>
      <c r="E49" s="258">
        <f>F12</f>
        <v>76200</v>
      </c>
      <c r="F49" s="258">
        <f>F13</f>
        <v>50000</v>
      </c>
      <c r="G49" s="258">
        <f>SUM(F14:F16)</f>
        <v>518400</v>
      </c>
    </row>
    <row r="50" spans="2:7" x14ac:dyDescent="0.25">
      <c r="B50" s="255">
        <v>2026</v>
      </c>
      <c r="C50" s="258">
        <f>SUM(M7:M9)</f>
        <v>1326400</v>
      </c>
      <c r="D50" s="258">
        <f>SUM(M10:M11)</f>
        <v>268650</v>
      </c>
      <c r="E50" s="258">
        <f>M12</f>
        <v>83950</v>
      </c>
      <c r="F50" s="258">
        <f>M13</f>
        <v>76800</v>
      </c>
      <c r="G50" s="258">
        <f>SUM(M14:M16)</f>
        <v>547300</v>
      </c>
    </row>
    <row r="51" spans="2:7" x14ac:dyDescent="0.25">
      <c r="B51" s="255">
        <v>2027</v>
      </c>
      <c r="C51" s="258">
        <f>SUM(T7:T9)</f>
        <v>1197000</v>
      </c>
      <c r="D51" s="258">
        <f>SUM(T10:T11)</f>
        <v>374500</v>
      </c>
      <c r="E51" s="258">
        <f>T12</f>
        <v>93400</v>
      </c>
      <c r="F51" s="258">
        <f>T13</f>
        <v>53600</v>
      </c>
      <c r="G51" s="258">
        <f>SUM(T14:T16)</f>
        <v>537900</v>
      </c>
    </row>
    <row r="52" spans="2:7" x14ac:dyDescent="0.25">
      <c r="B52" s="255">
        <v>2028</v>
      </c>
      <c r="C52" s="258">
        <f>SUM(AA7:AA9)</f>
        <v>1104000</v>
      </c>
      <c r="D52" s="258">
        <f>SUM(AA10:AA11)</f>
        <v>545500</v>
      </c>
      <c r="E52" s="258">
        <f>AA12</f>
        <v>70000</v>
      </c>
      <c r="F52" s="258">
        <f>AA13</f>
        <v>55500</v>
      </c>
      <c r="G52" s="258">
        <f>SUM(AA14:AA16)</f>
        <v>560400</v>
      </c>
    </row>
    <row r="53" spans="2:7" x14ac:dyDescent="0.25">
      <c r="B53" s="255">
        <v>2029</v>
      </c>
      <c r="C53" s="258">
        <f>SUM(AH7:AH9)</f>
        <v>1381300</v>
      </c>
      <c r="D53" s="258">
        <f>SUM(AH10:AH11)</f>
        <v>357000</v>
      </c>
      <c r="E53" s="258">
        <f>AH12</f>
        <v>52800</v>
      </c>
      <c r="F53" s="258">
        <f>AH13</f>
        <v>57400</v>
      </c>
      <c r="G53" s="258">
        <f>SUM(AH14:AH16)</f>
        <v>568600</v>
      </c>
    </row>
    <row r="54" spans="2:7" x14ac:dyDescent="0.25">
      <c r="B54" s="263" t="s">
        <v>477</v>
      </c>
      <c r="C54" s="264">
        <f>SUM(C49:C53)/SUM($F$22:$F$26)</f>
        <v>0.53052555984691241</v>
      </c>
      <c r="D54" s="264">
        <f>SUM(D49:D53)/SUM($F$22:$F$26)</f>
        <v>0.17150976940525298</v>
      </c>
      <c r="E54" s="264">
        <f>SUM(E49:E53)/SUM($F$22:$F$26)</f>
        <v>3.2960248022910588E-2</v>
      </c>
      <c r="F54" s="264">
        <f>SUM(F49:F53)/SUM($F$22:$F$26)</f>
        <v>2.5686836043894452E-2</v>
      </c>
      <c r="G54" s="264">
        <f>SUM(G49:G53)/SUM($F$22:$F$26)</f>
        <v>0.23931758668102956</v>
      </c>
    </row>
    <row r="56" spans="2:7" ht="39.6" x14ac:dyDescent="0.25">
      <c r="B56" s="259" t="s">
        <v>481</v>
      </c>
      <c r="C56" s="260" t="s">
        <v>479</v>
      </c>
      <c r="D56" s="260" t="s">
        <v>480</v>
      </c>
      <c r="E56" s="260" t="s">
        <v>13</v>
      </c>
      <c r="F56" s="260" t="s">
        <v>41</v>
      </c>
      <c r="G56" s="260" t="s">
        <v>15</v>
      </c>
    </row>
    <row r="57" spans="2:7" x14ac:dyDescent="0.25">
      <c r="B57" s="255">
        <v>2025</v>
      </c>
      <c r="C57" s="258">
        <f>SUM(F7:G9)</f>
        <v>1081000</v>
      </c>
      <c r="D57" s="258">
        <f>SUM(F10:G11)</f>
        <v>454100</v>
      </c>
      <c r="E57" s="258">
        <f>SUM(F12:G12)</f>
        <v>89200</v>
      </c>
      <c r="F57" s="258">
        <f>SUM(F13:G13)</f>
        <v>56000</v>
      </c>
      <c r="G57" s="258">
        <f>SUM(F14:G16)</f>
        <v>630900</v>
      </c>
    </row>
    <row r="58" spans="2:7" x14ac:dyDescent="0.25">
      <c r="B58" s="255">
        <v>2026</v>
      </c>
      <c r="C58" s="258">
        <f>SUM(M7:N9)</f>
        <v>1367100</v>
      </c>
      <c r="D58" s="258">
        <f>SUM(M10:N11)</f>
        <v>327960</v>
      </c>
      <c r="E58" s="258">
        <f>SUM(M12:N12)</f>
        <v>105630</v>
      </c>
      <c r="F58" s="258">
        <f>SUM(M13:N13)</f>
        <v>76800</v>
      </c>
      <c r="G58" s="258">
        <f>SUM(M14:N16)</f>
        <v>630610</v>
      </c>
    </row>
    <row r="59" spans="2:7" x14ac:dyDescent="0.25">
      <c r="B59" s="255">
        <v>2027</v>
      </c>
      <c r="C59" s="258">
        <f>SUM(T7:U9)</f>
        <v>1234400</v>
      </c>
      <c r="D59" s="258">
        <f>SUM(T10:U11)</f>
        <v>434100</v>
      </c>
      <c r="E59" s="258">
        <f>SUM(T12:U12)</f>
        <v>94300</v>
      </c>
      <c r="F59" s="258">
        <f>SUM(T13:U13)</f>
        <v>59600</v>
      </c>
      <c r="G59" s="258">
        <f>SUM(T14:U16)</f>
        <v>653500</v>
      </c>
    </row>
    <row r="60" spans="2:7" x14ac:dyDescent="0.25">
      <c r="B60" s="255">
        <v>2028</v>
      </c>
      <c r="C60" s="258">
        <f>SUM(AA7:AB9)</f>
        <v>1140800</v>
      </c>
      <c r="D60" s="258">
        <f>SUM(AA10:AB11)</f>
        <v>602000</v>
      </c>
      <c r="E60" s="258">
        <f>SUM(AA12:AB12)</f>
        <v>79300</v>
      </c>
      <c r="F60" s="258">
        <f>SUM(AA13:AB13)</f>
        <v>61500</v>
      </c>
      <c r="G60" s="258">
        <f>SUM(AA14:AB16)</f>
        <v>679000</v>
      </c>
    </row>
    <row r="61" spans="2:7" x14ac:dyDescent="0.25">
      <c r="B61" s="255">
        <v>2029</v>
      </c>
      <c r="C61" s="258">
        <f>SUM(AH7:AI9)</f>
        <v>1416600</v>
      </c>
      <c r="D61" s="258">
        <f>SUM(AH10:AI11)</f>
        <v>426900</v>
      </c>
      <c r="E61" s="258">
        <f>SUM(AH12:AI12)</f>
        <v>57000</v>
      </c>
      <c r="F61" s="258">
        <f>SUM(AH13:AI13)</f>
        <v>63400</v>
      </c>
      <c r="G61" s="258">
        <f>SUM(AH14:AI16)</f>
        <v>688400</v>
      </c>
    </row>
    <row r="62" spans="2:7" x14ac:dyDescent="0.25">
      <c r="B62" s="263" t="s">
        <v>477</v>
      </c>
      <c r="C62" s="264">
        <f>SUM(C57:C61)/SUM($F$22:$F$26)</f>
        <v>0.54648240105795087</v>
      </c>
      <c r="D62" s="264">
        <f>SUM(D57:D61)/SUM($F$22:$F$26)</f>
        <v>0.19661946174123993</v>
      </c>
      <c r="E62" s="264">
        <f>SUM(E57:E61)/SUM($F$22:$F$26)</f>
        <v>3.7258611176795145E-2</v>
      </c>
      <c r="F62" s="264">
        <f>SUM(F57:F61)/SUM($F$22:$F$26)</f>
        <v>2.7788725116698634E-2</v>
      </c>
      <c r="G62" s="264">
        <f>SUM(G57:G61)/SUM($F$22:$F$26)</f>
        <v>0.28746923797763241</v>
      </c>
    </row>
    <row r="90" spans="2:6" ht="26.4" x14ac:dyDescent="0.25">
      <c r="B90" s="261" t="s">
        <v>475</v>
      </c>
      <c r="C90" s="262" t="s">
        <v>484</v>
      </c>
      <c r="D90" s="262" t="s">
        <v>485</v>
      </c>
      <c r="E90" s="262" t="s">
        <v>486</v>
      </c>
      <c r="F90" s="262" t="s">
        <v>52</v>
      </c>
    </row>
    <row r="91" spans="2:6" x14ac:dyDescent="0.25">
      <c r="B91" s="255">
        <v>2025</v>
      </c>
      <c r="C91" s="258">
        <v>1577200</v>
      </c>
      <c r="D91" s="258">
        <v>120500</v>
      </c>
      <c r="E91" s="258">
        <v>408600</v>
      </c>
      <c r="F91" s="258">
        <f>SUM(C91:E91)</f>
        <v>2106300</v>
      </c>
    </row>
    <row r="92" spans="2:6" x14ac:dyDescent="0.25">
      <c r="B92" s="255">
        <v>2026</v>
      </c>
      <c r="C92" s="258">
        <v>1632400</v>
      </c>
      <c r="D92" s="258">
        <v>124800</v>
      </c>
      <c r="E92" s="258">
        <v>422900</v>
      </c>
      <c r="F92" s="258">
        <f t="shared" ref="F92:F95" si="17">SUM(C92:E92)</f>
        <v>2180100</v>
      </c>
    </row>
    <row r="93" spans="2:6" x14ac:dyDescent="0.25">
      <c r="B93" s="255">
        <v>2027</v>
      </c>
      <c r="C93" s="258">
        <v>1689500</v>
      </c>
      <c r="D93" s="258">
        <v>129100</v>
      </c>
      <c r="E93" s="258">
        <v>437800</v>
      </c>
      <c r="F93" s="258">
        <f t="shared" si="17"/>
        <v>2256400</v>
      </c>
    </row>
    <row r="94" spans="2:6" x14ac:dyDescent="0.25">
      <c r="B94" s="255">
        <v>2028</v>
      </c>
      <c r="C94" s="258">
        <v>1748800</v>
      </c>
      <c r="D94" s="258">
        <v>133600</v>
      </c>
      <c r="E94" s="258">
        <v>453000</v>
      </c>
      <c r="F94" s="258">
        <f t="shared" si="17"/>
        <v>2335400</v>
      </c>
    </row>
    <row r="95" spans="2:6" x14ac:dyDescent="0.25">
      <c r="B95" s="255">
        <v>2029</v>
      </c>
      <c r="C95" s="258">
        <v>1810000</v>
      </c>
      <c r="D95" s="258">
        <v>138300</v>
      </c>
      <c r="E95" s="258">
        <v>468800</v>
      </c>
      <c r="F95" s="258">
        <f t="shared" si="17"/>
        <v>2417100</v>
      </c>
    </row>
    <row r="96" spans="2:6" x14ac:dyDescent="0.25">
      <c r="B96" s="263" t="s">
        <v>477</v>
      </c>
      <c r="C96" s="264">
        <f>SUM(C91:C95)/SUM($F$22:$F$26)</f>
        <v>0.74073198286960407</v>
      </c>
      <c r="D96" s="264">
        <f>SUM(E91:E95)/SUM($F$22:$F$26)</f>
        <v>0.19189371447588521</v>
      </c>
      <c r="E96" s="264">
        <f>SUM(D91:D95)/SUM($F$22:$F$26)</f>
        <v>5.6602121156389303E-2</v>
      </c>
      <c r="F96" s="264">
        <f>SUM(F91:F95)/SUM($F$22:$F$26)</f>
        <v>0.98922781850187858</v>
      </c>
    </row>
  </sheetData>
  <mergeCells count="5">
    <mergeCell ref="C5:G5"/>
    <mergeCell ref="J5:N5"/>
    <mergeCell ref="Q5:U5"/>
    <mergeCell ref="X5:AB5"/>
    <mergeCell ref="AE5:AI5"/>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FFA78B-9002-413B-8C5C-E4B812592DC8}">
  <sheetPr codeName="Sheet4">
    <tabColor theme="4"/>
  </sheetPr>
  <dimension ref="A1:L114"/>
  <sheetViews>
    <sheetView topLeftCell="B1" workbookViewId="0">
      <selection activeCell="L5" sqref="L5"/>
    </sheetView>
  </sheetViews>
  <sheetFormatPr defaultColWidth="9.109375" defaultRowHeight="15.6" x14ac:dyDescent="0.3"/>
  <cols>
    <col min="1" max="1" width="9.109375" style="296"/>
    <col min="2" max="2" width="70.33203125" style="296" customWidth="1"/>
    <col min="3" max="7" width="17.33203125" style="296" customWidth="1"/>
    <col min="8" max="11" width="10.6640625" style="296" customWidth="1"/>
    <col min="12" max="12" width="113" style="296" customWidth="1"/>
    <col min="13" max="16384" width="9.109375" style="296"/>
  </cols>
  <sheetData>
    <row r="1" spans="1:12" ht="18" x14ac:dyDescent="0.35">
      <c r="B1" s="297" t="s">
        <v>375</v>
      </c>
      <c r="C1" s="298"/>
      <c r="H1" s="299" t="s">
        <v>376</v>
      </c>
      <c r="I1" s="300"/>
    </row>
    <row r="2" spans="1:12" ht="15.75" customHeight="1" x14ac:dyDescent="0.3">
      <c r="B2" s="301" t="str">
        <f>'Table of Contents'!$B$2</f>
        <v>Final 2026 RTF Work Plan - October 7, 2025</v>
      </c>
      <c r="C2" s="298"/>
      <c r="E2" s="307"/>
      <c r="H2" s="299" t="s">
        <v>377</v>
      </c>
      <c r="I2" s="302"/>
    </row>
    <row r="3" spans="1:12" ht="15.75" customHeight="1" x14ac:dyDescent="0.3">
      <c r="B3" s="303" t="s">
        <v>378</v>
      </c>
      <c r="C3" s="304">
        <v>3.5000000000000003E-2</v>
      </c>
      <c r="H3" s="299" t="s">
        <v>379</v>
      </c>
      <c r="I3" s="450" t="s">
        <v>640</v>
      </c>
      <c r="J3" s="450"/>
      <c r="K3" s="450"/>
      <c r="L3" s="389">
        <f>'Funding Shares'!D6</f>
        <v>2180100</v>
      </c>
    </row>
    <row r="4" spans="1:12" ht="15.75" customHeight="1" x14ac:dyDescent="0.35">
      <c r="B4" s="305"/>
      <c r="C4" s="298"/>
      <c r="D4" s="306"/>
      <c r="E4" s="306"/>
      <c r="F4" s="307"/>
      <c r="H4" s="299"/>
      <c r="I4" s="450" t="s">
        <v>579</v>
      </c>
      <c r="J4" s="450"/>
      <c r="K4" s="450"/>
      <c r="L4" s="388">
        <f>'Carry Over'!C16</f>
        <v>123000</v>
      </c>
    </row>
    <row r="5" spans="1:12" ht="18" x14ac:dyDescent="0.35">
      <c r="C5" s="447" t="s">
        <v>380</v>
      </c>
      <c r="D5" s="448"/>
      <c r="E5" s="448"/>
      <c r="F5" s="448"/>
      <c r="G5" s="448"/>
      <c r="H5" s="448"/>
      <c r="I5" s="448" t="s">
        <v>578</v>
      </c>
      <c r="J5" s="448"/>
      <c r="K5" s="449"/>
      <c r="L5" s="308">
        <f>SUM(L3:L4)</f>
        <v>2303100</v>
      </c>
    </row>
    <row r="6" spans="1:12" ht="46.8" x14ac:dyDescent="0.3">
      <c r="A6" s="309" t="s">
        <v>491</v>
      </c>
      <c r="B6" s="309" t="s">
        <v>384</v>
      </c>
      <c r="C6" s="310" t="s">
        <v>385</v>
      </c>
      <c r="D6" s="311" t="s">
        <v>386</v>
      </c>
      <c r="E6" s="311" t="s">
        <v>118</v>
      </c>
      <c r="F6" s="311" t="s">
        <v>387</v>
      </c>
      <c r="G6" s="311" t="s">
        <v>388</v>
      </c>
      <c r="H6" s="311" t="s">
        <v>30</v>
      </c>
      <c r="I6" s="311" t="s">
        <v>389</v>
      </c>
      <c r="J6" s="311" t="s">
        <v>390</v>
      </c>
      <c r="K6" s="311" t="s">
        <v>391</v>
      </c>
      <c r="L6" s="312" t="s">
        <v>2</v>
      </c>
    </row>
    <row r="7" spans="1:12" s="318" customFormat="1" x14ac:dyDescent="0.3">
      <c r="A7" s="313">
        <v>1</v>
      </c>
      <c r="B7" s="313" t="s">
        <v>6</v>
      </c>
      <c r="C7" s="314">
        <f>SUM(C8:C12)</f>
        <v>159600</v>
      </c>
      <c r="D7" s="315">
        <f>SUM(D8:D12)</f>
        <v>478800</v>
      </c>
      <c r="E7" s="315">
        <f>SUM(E8:E12)</f>
        <v>0</v>
      </c>
      <c r="F7" s="315">
        <f>SUM(F8:F12)</f>
        <v>638400</v>
      </c>
      <c r="G7" s="315">
        <f>SUM(G8:G12)</f>
        <v>29400</v>
      </c>
      <c r="H7" s="316">
        <f>F7/$F$54</f>
        <v>0.27719161130649994</v>
      </c>
      <c r="I7" s="316"/>
      <c r="J7" s="316"/>
      <c r="K7" s="316"/>
      <c r="L7" s="317"/>
    </row>
    <row r="8" spans="1:12" s="377" customFormat="1" x14ac:dyDescent="0.3">
      <c r="A8" s="386" t="s">
        <v>492</v>
      </c>
      <c r="B8" s="386" t="s">
        <v>564</v>
      </c>
      <c r="C8" s="382">
        <f>'Work Plan Based BP'!C8</f>
        <v>68400</v>
      </c>
      <c r="D8" s="383">
        <f>'Work Plan Based BP'!D8</f>
        <v>205200</v>
      </c>
      <c r="E8" s="383">
        <f>'Work Plan Based BP'!E8</f>
        <v>0</v>
      </c>
      <c r="F8" s="383">
        <f>SUM(C8:E8)</f>
        <v>273600</v>
      </c>
      <c r="G8" s="383">
        <f>'Work Plan Based BP'!G8</f>
        <v>12600</v>
      </c>
      <c r="H8" s="376"/>
      <c r="I8" s="385">
        <f>1-SUM(J8:K8)</f>
        <v>1</v>
      </c>
      <c r="J8" s="385">
        <v>0</v>
      </c>
      <c r="K8" s="385">
        <v>0</v>
      </c>
      <c r="L8" s="384" t="str">
        <f>"Assumes update of "&amp; 'Measure and Costs Assumptions'!C21 &amp;" measures"</f>
        <v>Assumes update of 12 measures</v>
      </c>
    </row>
    <row r="9" spans="1:12" s="377" customFormat="1" x14ac:dyDescent="0.3">
      <c r="A9" s="386" t="s">
        <v>493</v>
      </c>
      <c r="B9" s="386" t="s">
        <v>565</v>
      </c>
      <c r="C9" s="382">
        <f>'Work Plan Based BP'!C9</f>
        <v>51300</v>
      </c>
      <c r="D9" s="383">
        <f>'Work Plan Based BP'!D9</f>
        <v>153900</v>
      </c>
      <c r="E9" s="383">
        <f>'Work Plan Based BP'!E9</f>
        <v>0</v>
      </c>
      <c r="F9" s="383">
        <f t="shared" ref="F9:F12" si="0">SUM(C9:E9)</f>
        <v>205200</v>
      </c>
      <c r="G9" s="383">
        <f>'Work Plan Based BP'!G9</f>
        <v>9450</v>
      </c>
      <c r="H9" s="376"/>
      <c r="I9" s="385">
        <f>1-SUM(J9:K9)</f>
        <v>0.75</v>
      </c>
      <c r="J9" s="385">
        <v>0</v>
      </c>
      <c r="K9" s="385">
        <v>0.25</v>
      </c>
      <c r="L9" s="384" t="str">
        <f>"Assumes update of "&amp; 'Measure and Costs Assumptions'!C22 &amp;" measures"</f>
        <v>Assumes update of 9 measures</v>
      </c>
    </row>
    <row r="10" spans="1:12" s="377" customFormat="1" x14ac:dyDescent="0.3">
      <c r="A10" s="386" t="s">
        <v>494</v>
      </c>
      <c r="B10" s="386" t="s">
        <v>566</v>
      </c>
      <c r="C10" s="382">
        <f>'Work Plan Based BP'!C10</f>
        <v>22800</v>
      </c>
      <c r="D10" s="383">
        <f>'Work Plan Based BP'!D10</f>
        <v>68400</v>
      </c>
      <c r="E10" s="383">
        <f>'Work Plan Based BP'!E10</f>
        <v>0</v>
      </c>
      <c r="F10" s="383">
        <f t="shared" si="0"/>
        <v>91200</v>
      </c>
      <c r="G10" s="383">
        <f>'Work Plan Based BP'!G10</f>
        <v>4200</v>
      </c>
      <c r="H10" s="376"/>
      <c r="I10" s="385">
        <f t="shared" ref="I10:I11" si="1">1-SUM(J10:K10)</f>
        <v>0.75</v>
      </c>
      <c r="J10" s="385">
        <v>0.25</v>
      </c>
      <c r="K10" s="385">
        <v>0</v>
      </c>
      <c r="L10" s="384" t="str">
        <f>"Assumes update of "&amp; 'Measure and Costs Assumptions'!C23 &amp;" measures"</f>
        <v>Assumes update of 4 measures</v>
      </c>
    </row>
    <row r="11" spans="1:12" s="377" customFormat="1" x14ac:dyDescent="0.3">
      <c r="A11" s="386" t="s">
        <v>495</v>
      </c>
      <c r="B11" s="386" t="s">
        <v>567</v>
      </c>
      <c r="C11" s="382">
        <f>'Work Plan Based BP'!C11</f>
        <v>5700</v>
      </c>
      <c r="D11" s="383">
        <f>'Work Plan Based BP'!D11</f>
        <v>17100</v>
      </c>
      <c r="E11" s="383">
        <f>'Work Plan Based BP'!E11</f>
        <v>0</v>
      </c>
      <c r="F11" s="383">
        <f t="shared" si="0"/>
        <v>22800</v>
      </c>
      <c r="G11" s="383">
        <f>'Work Plan Based BP'!G11</f>
        <v>1050</v>
      </c>
      <c r="H11" s="376"/>
      <c r="I11" s="385">
        <f t="shared" si="1"/>
        <v>0</v>
      </c>
      <c r="J11" s="385">
        <v>1</v>
      </c>
      <c r="K11" s="385">
        <v>0</v>
      </c>
      <c r="L11" s="384" t="str">
        <f>"Assumes update of "&amp; 'Measure and Costs Assumptions'!C24 &amp;" measures"</f>
        <v>Assumes update of 1 measures</v>
      </c>
    </row>
    <row r="12" spans="1:12" s="378" customFormat="1" x14ac:dyDescent="0.3">
      <c r="A12" s="386" t="s">
        <v>496</v>
      </c>
      <c r="B12" s="386" t="s">
        <v>396</v>
      </c>
      <c r="C12" s="382">
        <f>'Work Plan Based BP'!C12</f>
        <v>11400</v>
      </c>
      <c r="D12" s="383">
        <f>'Work Plan Based BP'!D12</f>
        <v>34200</v>
      </c>
      <c r="E12" s="383">
        <f>'Work Plan Based BP'!E12</f>
        <v>0</v>
      </c>
      <c r="F12" s="383">
        <f t="shared" si="0"/>
        <v>45600</v>
      </c>
      <c r="G12" s="383">
        <f>'Work Plan Based BP'!G12</f>
        <v>2100</v>
      </c>
      <c r="H12" s="376"/>
      <c r="I12" s="385">
        <f>1-SUM(J12:K12)</f>
        <v>0.75</v>
      </c>
      <c r="J12" s="385">
        <v>0.25</v>
      </c>
      <c r="K12" s="385">
        <v>0</v>
      </c>
      <c r="L12" s="384" t="str">
        <f>"Assumes update of "&amp; 'Measure and Costs Assumptions'!C25 &amp;" impact evaluation guidance"</f>
        <v>Assumes update of 2 impact evaluation guidance</v>
      </c>
    </row>
    <row r="13" spans="1:12" x14ac:dyDescent="0.3">
      <c r="A13" s="313">
        <v>2</v>
      </c>
      <c r="B13" s="313" t="s">
        <v>9</v>
      </c>
      <c r="C13" s="314">
        <f>SUM(C14:C19)</f>
        <v>57000</v>
      </c>
      <c r="D13" s="315">
        <f>SUM(D14:D19)</f>
        <v>435000</v>
      </c>
      <c r="E13" s="315">
        <f>SUM(E14:E19)</f>
        <v>0</v>
      </c>
      <c r="F13" s="315">
        <f>SUM(F14:F19)</f>
        <v>492000</v>
      </c>
      <c r="G13" s="315">
        <f>SUM(G14:G19)</f>
        <v>6300</v>
      </c>
      <c r="H13" s="316">
        <f>F13/$F$54</f>
        <v>0.21362511397681386</v>
      </c>
      <c r="I13" s="316"/>
      <c r="J13" s="326"/>
      <c r="K13" s="326"/>
      <c r="L13" s="327"/>
    </row>
    <row r="14" spans="1:12" x14ac:dyDescent="0.3">
      <c r="A14" s="319" t="s">
        <v>497</v>
      </c>
      <c r="B14" s="319" t="s">
        <v>392</v>
      </c>
      <c r="C14" s="324">
        <f>'Work Plan Based BP'!C14</f>
        <v>5700</v>
      </c>
      <c r="D14" s="320">
        <f>'Work Plan Based BP'!D14</f>
        <v>72500</v>
      </c>
      <c r="E14" s="320">
        <f>'Work Plan Based BP'!E14</f>
        <v>0</v>
      </c>
      <c r="F14" s="320">
        <f>SUM(C14:E14)</f>
        <v>78200</v>
      </c>
      <c r="G14" s="320">
        <f>'Work Plan Based BP'!G14</f>
        <v>1050</v>
      </c>
      <c r="H14" s="321"/>
      <c r="I14" s="322">
        <f>1-SUM(J14:K14)</f>
        <v>1</v>
      </c>
      <c r="J14" s="322">
        <v>0</v>
      </c>
      <c r="K14" s="322">
        <v>0</v>
      </c>
      <c r="L14" s="323" t="str">
        <f>"Assumes development of "&amp; 'Measure and Costs Assumptions'!C12 &amp;" measures"</f>
        <v>Assumes development of 1 measures</v>
      </c>
    </row>
    <row r="15" spans="1:12" x14ac:dyDescent="0.3">
      <c r="A15" s="319" t="s">
        <v>498</v>
      </c>
      <c r="B15" s="319" t="s">
        <v>490</v>
      </c>
      <c r="C15" s="324">
        <f>'Work Plan Based BP'!C15</f>
        <v>34200</v>
      </c>
      <c r="D15" s="320">
        <f>'Work Plan Based BP'!D15</f>
        <v>145000</v>
      </c>
      <c r="E15" s="320">
        <f>'Work Plan Based BP'!E15</f>
        <v>0</v>
      </c>
      <c r="F15" s="320">
        <f t="shared" ref="F15:F19" si="2">SUM(C15:E15)</f>
        <v>179200</v>
      </c>
      <c r="G15" s="320">
        <f>'Work Plan Based BP'!G15</f>
        <v>2100</v>
      </c>
      <c r="H15" s="321"/>
      <c r="I15" s="322">
        <f t="shared" ref="I15:I18" si="3">1-SUM(J15:K15)</f>
        <v>1</v>
      </c>
      <c r="J15" s="322">
        <v>0</v>
      </c>
      <c r="K15" s="322">
        <v>0</v>
      </c>
      <c r="L15" s="323" t="str">
        <f>"Assumes development of "&amp; 'Measure and Costs Assumptions'!C13 &amp;" measures"</f>
        <v>Assumes development of 2 measures</v>
      </c>
    </row>
    <row r="16" spans="1:12" x14ac:dyDescent="0.3">
      <c r="A16" s="319" t="s">
        <v>499</v>
      </c>
      <c r="B16" s="319" t="s">
        <v>393</v>
      </c>
      <c r="C16" s="324">
        <f>'Work Plan Based BP'!C16</f>
        <v>11400</v>
      </c>
      <c r="D16" s="320">
        <f>'Work Plan Based BP'!D16</f>
        <v>145000</v>
      </c>
      <c r="E16" s="320">
        <f>'Work Plan Based BP'!E16</f>
        <v>0</v>
      </c>
      <c r="F16" s="320">
        <f t="shared" si="2"/>
        <v>156400</v>
      </c>
      <c r="G16" s="320">
        <f>'Work Plan Based BP'!G16</f>
        <v>2100</v>
      </c>
      <c r="H16" s="321"/>
      <c r="I16" s="322">
        <f t="shared" si="3"/>
        <v>0.75</v>
      </c>
      <c r="J16" s="322">
        <v>0</v>
      </c>
      <c r="K16" s="322">
        <v>0.25</v>
      </c>
      <c r="L16" s="323" t="str">
        <f>"Assumes development of "&amp; 'Measure and Costs Assumptions'!C14 &amp;" measures"</f>
        <v>Assumes development of 2 measures</v>
      </c>
    </row>
    <row r="17" spans="1:12" x14ac:dyDescent="0.3">
      <c r="A17" s="319" t="s">
        <v>500</v>
      </c>
      <c r="B17" s="319" t="s">
        <v>394</v>
      </c>
      <c r="C17" s="324">
        <f>'Work Plan Based BP'!C17</f>
        <v>0</v>
      </c>
      <c r="D17" s="320">
        <f>'Work Plan Based BP'!D17</f>
        <v>0</v>
      </c>
      <c r="E17" s="320">
        <f>'Work Plan Based BP'!E17</f>
        <v>0</v>
      </c>
      <c r="F17" s="320">
        <f t="shared" si="2"/>
        <v>0</v>
      </c>
      <c r="G17" s="320">
        <f>'Work Plan Based BP'!G17</f>
        <v>0</v>
      </c>
      <c r="H17" s="321"/>
      <c r="I17" s="322">
        <f t="shared" si="3"/>
        <v>0.75</v>
      </c>
      <c r="J17" s="322">
        <v>0.25</v>
      </c>
      <c r="K17" s="322">
        <v>0</v>
      </c>
      <c r="L17" s="323" t="str">
        <f>"Assumes development of "&amp; 'Measure and Costs Assumptions'!C15 &amp;" measures"</f>
        <v>Assumes development of 0 measures</v>
      </c>
    </row>
    <row r="18" spans="1:12" x14ac:dyDescent="0.3">
      <c r="A18" s="319" t="s">
        <v>501</v>
      </c>
      <c r="B18" s="319" t="s">
        <v>395</v>
      </c>
      <c r="C18" s="324">
        <f>'Work Plan Based BP'!C18</f>
        <v>5700</v>
      </c>
      <c r="D18" s="320">
        <f>'Work Plan Based BP'!D18</f>
        <v>72500</v>
      </c>
      <c r="E18" s="320">
        <f>'Work Plan Based BP'!E18</f>
        <v>0</v>
      </c>
      <c r="F18" s="320">
        <f t="shared" si="2"/>
        <v>78200</v>
      </c>
      <c r="G18" s="320">
        <f>'Work Plan Based BP'!G18</f>
        <v>1050</v>
      </c>
      <c r="H18" s="321"/>
      <c r="I18" s="322">
        <f t="shared" si="3"/>
        <v>0</v>
      </c>
      <c r="J18" s="322">
        <v>1</v>
      </c>
      <c r="K18" s="322">
        <v>0</v>
      </c>
      <c r="L18" s="323" t="str">
        <f>"Assumes development of "&amp; 'Measure and Costs Assumptions'!C16 &amp;" measures"</f>
        <v>Assumes development of 1 measures</v>
      </c>
    </row>
    <row r="19" spans="1:12" x14ac:dyDescent="0.3">
      <c r="A19" s="319" t="s">
        <v>502</v>
      </c>
      <c r="B19" s="319" t="s">
        <v>396</v>
      </c>
      <c r="C19" s="324">
        <f>'Work Plan Based BP'!C19</f>
        <v>0</v>
      </c>
      <c r="D19" s="320">
        <f>'Work Plan Based BP'!D19</f>
        <v>0</v>
      </c>
      <c r="E19" s="320">
        <f>'Work Plan Based BP'!E19</f>
        <v>0</v>
      </c>
      <c r="F19" s="320">
        <f t="shared" si="2"/>
        <v>0</v>
      </c>
      <c r="G19" s="320">
        <f>'Work Plan Based BP'!G19</f>
        <v>0</v>
      </c>
      <c r="H19" s="321"/>
      <c r="I19" s="322">
        <f>1-SUM(J19:K19)</f>
        <v>0.75</v>
      </c>
      <c r="J19" s="322">
        <v>0.25</v>
      </c>
      <c r="K19" s="322">
        <v>0</v>
      </c>
      <c r="L19" s="323" t="str">
        <f>"Assumes update of "&amp; 'Measure and Costs Assumptions'!C17 &amp;" impact evaluation guidance"</f>
        <v>Assumes update of 0 impact evaluation guidance</v>
      </c>
    </row>
    <row r="20" spans="1:12" x14ac:dyDescent="0.3">
      <c r="A20" s="313">
        <v>3</v>
      </c>
      <c r="B20" s="313" t="s">
        <v>10</v>
      </c>
      <c r="C20" s="314">
        <f>SUM(C21:C23)</f>
        <v>5000</v>
      </c>
      <c r="D20" s="315">
        <f>SUM(D21:D23)</f>
        <v>191000</v>
      </c>
      <c r="E20" s="315">
        <f>SUM(E21:E23)</f>
        <v>0</v>
      </c>
      <c r="F20" s="315">
        <f>SUM(F21:F23)</f>
        <v>196000</v>
      </c>
      <c r="G20" s="315">
        <f>SUM(G21:G23)</f>
        <v>5000</v>
      </c>
      <c r="H20" s="316">
        <f>F20/$F$54</f>
        <v>8.5102687681820152E-2</v>
      </c>
      <c r="I20" s="316"/>
      <c r="J20" s="326"/>
      <c r="K20" s="326"/>
      <c r="L20" s="327"/>
    </row>
    <row r="21" spans="1:12" x14ac:dyDescent="0.3">
      <c r="A21" s="319" t="s">
        <v>503</v>
      </c>
      <c r="B21" s="319" t="s">
        <v>397</v>
      </c>
      <c r="C21" s="324">
        <f>'Work Plan Based BP'!C21</f>
        <v>5000</v>
      </c>
      <c r="D21" s="320">
        <f>'Work Plan Based BP'!D21</f>
        <v>0</v>
      </c>
      <c r="E21" s="320">
        <f>'Work Plan Based BP'!E21</f>
        <v>0</v>
      </c>
      <c r="F21" s="320">
        <f>SUM(C21:E21)</f>
        <v>5000</v>
      </c>
      <c r="G21" s="320">
        <f>'Work Plan Based BP'!G21</f>
        <v>0</v>
      </c>
      <c r="H21" s="321"/>
      <c r="I21" s="322">
        <f>1-SUM(J21:K21)</f>
        <v>0.75</v>
      </c>
      <c r="J21" s="322">
        <v>0.25</v>
      </c>
      <c r="K21" s="322">
        <v>0</v>
      </c>
      <c r="L21" s="323" t="s">
        <v>562</v>
      </c>
    </row>
    <row r="22" spans="1:12" x14ac:dyDescent="0.3">
      <c r="A22" s="319" t="s">
        <v>504</v>
      </c>
      <c r="B22" s="319" t="s">
        <v>398</v>
      </c>
      <c r="C22" s="324">
        <f>'Work Plan Based BP'!C22</f>
        <v>0</v>
      </c>
      <c r="D22" s="320">
        <f>'Work Plan Based BP'!D22</f>
        <v>0</v>
      </c>
      <c r="E22" s="320">
        <f>'Work Plan Based BP'!E22</f>
        <v>0</v>
      </c>
      <c r="F22" s="320">
        <f t="shared" ref="F22:F23" si="4">SUM(C22:E22)</f>
        <v>0</v>
      </c>
      <c r="G22" s="320">
        <f>'Work Plan Based BP'!G22</f>
        <v>0</v>
      </c>
      <c r="H22" s="321"/>
      <c r="I22" s="322">
        <f t="shared" ref="I22:I23" si="5">1-SUM(J22:K22)</f>
        <v>0.75</v>
      </c>
      <c r="J22" s="322">
        <v>0.25</v>
      </c>
      <c r="K22" s="322">
        <v>0</v>
      </c>
      <c r="L22" s="323" t="s">
        <v>563</v>
      </c>
    </row>
    <row r="23" spans="1:12" x14ac:dyDescent="0.3">
      <c r="A23" s="319" t="s">
        <v>505</v>
      </c>
      <c r="B23" s="319" t="s">
        <v>399</v>
      </c>
      <c r="C23" s="324">
        <f>'Work Plan Based BP'!C23</f>
        <v>0</v>
      </c>
      <c r="D23" s="320">
        <f>'Work Plan Based BP'!D23</f>
        <v>191000</v>
      </c>
      <c r="E23" s="320">
        <f>'Work Plan Based BP'!E23</f>
        <v>0</v>
      </c>
      <c r="F23" s="320">
        <f t="shared" si="4"/>
        <v>191000</v>
      </c>
      <c r="G23" s="320">
        <f>'Work Plan Based BP'!G23</f>
        <v>5000</v>
      </c>
      <c r="H23" s="321"/>
      <c r="I23" s="322">
        <f t="shared" si="5"/>
        <v>0.75</v>
      </c>
      <c r="J23" s="322">
        <v>0.25</v>
      </c>
      <c r="K23" s="322">
        <v>0</v>
      </c>
      <c r="L23" s="323" t="s">
        <v>400</v>
      </c>
    </row>
    <row r="24" spans="1:12" x14ac:dyDescent="0.3">
      <c r="A24" s="328">
        <v>4</v>
      </c>
      <c r="B24" s="328" t="s">
        <v>11</v>
      </c>
      <c r="C24" s="329">
        <f>SUM(C25:C27)</f>
        <v>36000</v>
      </c>
      <c r="D24" s="330">
        <f>SUM(D25:D27)</f>
        <v>70000</v>
      </c>
      <c r="E24" s="330">
        <f>SUM(E25:E27)</f>
        <v>0</v>
      </c>
      <c r="F24" s="330">
        <f>SUM(F25:F27)</f>
        <v>106000</v>
      </c>
      <c r="G24" s="330">
        <f t="shared" ref="G24" si="6">SUM(G25:G27)</f>
        <v>29160</v>
      </c>
      <c r="H24" s="331">
        <f>F24/$F$54</f>
        <v>4.6024922929963963E-2</v>
      </c>
      <c r="I24" s="331"/>
      <c r="J24" s="332"/>
      <c r="K24" s="332"/>
      <c r="L24" s="333"/>
    </row>
    <row r="25" spans="1:12" x14ac:dyDescent="0.3">
      <c r="A25" s="334" t="s">
        <v>506</v>
      </c>
      <c r="B25" s="334" t="s">
        <v>401</v>
      </c>
      <c r="C25" s="335">
        <f>'Work Plan Based BP'!C25</f>
        <v>0</v>
      </c>
      <c r="D25" s="336">
        <f>'Work Plan Based BP'!D25</f>
        <v>5000</v>
      </c>
      <c r="E25" s="336">
        <f>'Work Plan Based BP'!E25</f>
        <v>0</v>
      </c>
      <c r="F25" s="336">
        <f>SUM(C25:E25)</f>
        <v>5000</v>
      </c>
      <c r="G25" s="336">
        <f>'Work Plan Based BP'!G25</f>
        <v>5250</v>
      </c>
      <c r="H25" s="337"/>
      <c r="I25" s="338">
        <f>1-SUM(J25:K25)</f>
        <v>0.75</v>
      </c>
      <c r="J25" s="338">
        <v>0.25</v>
      </c>
      <c r="K25" s="338">
        <v>0</v>
      </c>
      <c r="L25" s="339" t="s">
        <v>488</v>
      </c>
    </row>
    <row r="26" spans="1:12" x14ac:dyDescent="0.3">
      <c r="A26" s="334" t="s">
        <v>508</v>
      </c>
      <c r="B26" s="334" t="s">
        <v>402</v>
      </c>
      <c r="C26" s="335">
        <f>'Work Plan Based BP'!C26</f>
        <v>0</v>
      </c>
      <c r="D26" s="336">
        <f>'Work Plan Based BP'!D26</f>
        <v>60000</v>
      </c>
      <c r="E26" s="336">
        <f>'Work Plan Based BP'!E26</f>
        <v>0</v>
      </c>
      <c r="F26" s="336">
        <f t="shared" ref="F26:F27" si="7">SUM(C26:E26)</f>
        <v>60000</v>
      </c>
      <c r="G26" s="336">
        <f>'Work Plan Based BP'!G26</f>
        <v>18910</v>
      </c>
      <c r="H26" s="337"/>
      <c r="I26" s="338">
        <f>1-SUM(J26:K26)</f>
        <v>0.75</v>
      </c>
      <c r="J26" s="338">
        <v>0.25</v>
      </c>
      <c r="K26" s="338">
        <v>0</v>
      </c>
      <c r="L26" s="339" t="s">
        <v>577</v>
      </c>
    </row>
    <row r="27" spans="1:12" x14ac:dyDescent="0.3">
      <c r="A27" s="334" t="s">
        <v>507</v>
      </c>
      <c r="B27" s="334" t="s">
        <v>403</v>
      </c>
      <c r="C27" s="335">
        <f>'Work Plan Based BP'!C27+'Carry Over'!C22</f>
        <v>36000</v>
      </c>
      <c r="D27" s="336">
        <f>'Work Plan Based BP'!D27</f>
        <v>5000</v>
      </c>
      <c r="E27" s="336">
        <f>'Work Plan Based BP'!E27</f>
        <v>0</v>
      </c>
      <c r="F27" s="336">
        <f t="shared" si="7"/>
        <v>41000</v>
      </c>
      <c r="G27" s="336">
        <f>'Work Plan Based BP'!G27</f>
        <v>5000</v>
      </c>
      <c r="H27" s="337"/>
      <c r="I27" s="338">
        <f t="shared" ref="I27:I53" si="8">1-SUM(J27:K27)</f>
        <v>0.75</v>
      </c>
      <c r="J27" s="338">
        <v>0.25</v>
      </c>
      <c r="K27" s="338">
        <v>0</v>
      </c>
      <c r="L27" s="339" t="s">
        <v>572</v>
      </c>
    </row>
    <row r="28" spans="1:12" x14ac:dyDescent="0.3">
      <c r="A28" s="328">
        <v>5</v>
      </c>
      <c r="B28" s="328" t="s">
        <v>404</v>
      </c>
      <c r="C28" s="329">
        <f>SUM(C29:C32)</f>
        <v>70750</v>
      </c>
      <c r="D28" s="330">
        <f>SUM(D29:D32)</f>
        <v>91900</v>
      </c>
      <c r="E28" s="330">
        <f>SUM(E29:E32)</f>
        <v>0</v>
      </c>
      <c r="F28" s="330">
        <f>SUM(F29:F32)</f>
        <v>162650</v>
      </c>
      <c r="G28" s="330">
        <f>SUM(G29:G32)</f>
        <v>30150</v>
      </c>
      <c r="H28" s="331">
        <f>F28/$F$54</f>
        <v>7.0622204854326784E-2</v>
      </c>
      <c r="I28" s="331"/>
      <c r="J28" s="332"/>
      <c r="K28" s="332"/>
      <c r="L28" s="333"/>
    </row>
    <row r="29" spans="1:12" x14ac:dyDescent="0.3">
      <c r="A29" s="334" t="s">
        <v>509</v>
      </c>
      <c r="B29" s="334" t="s">
        <v>514</v>
      </c>
      <c r="C29" s="335">
        <f>'Work Plan Based BP'!C29</f>
        <v>0</v>
      </c>
      <c r="D29" s="336">
        <f>'Work Plan Based BP'!D29</f>
        <v>50000</v>
      </c>
      <c r="E29" s="336">
        <f>'Work Plan Based BP'!E29</f>
        <v>0</v>
      </c>
      <c r="F29" s="336">
        <f>SUM(C29:E29)</f>
        <v>50000</v>
      </c>
      <c r="G29" s="336">
        <f>'Work Plan Based BP'!G29</f>
        <v>4000</v>
      </c>
      <c r="H29" s="337"/>
      <c r="I29" s="338">
        <f t="shared" si="8"/>
        <v>1</v>
      </c>
      <c r="J29" s="338">
        <v>0</v>
      </c>
      <c r="K29" s="338">
        <v>0</v>
      </c>
      <c r="L29" s="339" t="s">
        <v>513</v>
      </c>
    </row>
    <row r="30" spans="1:12" x14ac:dyDescent="0.3">
      <c r="A30" s="334" t="s">
        <v>510</v>
      </c>
      <c r="B30" s="334" t="s">
        <v>405</v>
      </c>
      <c r="C30" s="335">
        <f>'Work Plan Based BP'!C30</f>
        <v>0</v>
      </c>
      <c r="D30" s="336">
        <f>'Work Plan Based BP'!D30</f>
        <v>5000</v>
      </c>
      <c r="E30" s="336">
        <f>'Work Plan Based BP'!E30</f>
        <v>0</v>
      </c>
      <c r="F30" s="336">
        <f t="shared" ref="F30:F32" si="9">SUM(C30:E30)</f>
        <v>5000</v>
      </c>
      <c r="G30" s="336">
        <f>'Work Plan Based BP'!G30</f>
        <v>150</v>
      </c>
      <c r="H30" s="337"/>
      <c r="I30" s="338">
        <f t="shared" si="8"/>
        <v>1</v>
      </c>
      <c r="J30" s="338">
        <v>0</v>
      </c>
      <c r="K30" s="338">
        <v>0</v>
      </c>
      <c r="L30" s="339" t="s">
        <v>440</v>
      </c>
    </row>
    <row r="31" spans="1:12" x14ac:dyDescent="0.3">
      <c r="A31" s="334" t="s">
        <v>511</v>
      </c>
      <c r="B31" s="334" t="s">
        <v>406</v>
      </c>
      <c r="C31" s="335">
        <f>'Work Plan Based BP'!C31</f>
        <v>0</v>
      </c>
      <c r="D31" s="336">
        <f>'Work Plan Based BP'!D31</f>
        <v>0</v>
      </c>
      <c r="E31" s="336">
        <f>'Work Plan Based BP'!E31</f>
        <v>0</v>
      </c>
      <c r="F31" s="336">
        <f t="shared" si="9"/>
        <v>0</v>
      </c>
      <c r="G31" s="336">
        <f>'Work Plan Based BP'!G31</f>
        <v>0</v>
      </c>
      <c r="H31" s="337"/>
      <c r="I31" s="338">
        <f t="shared" si="8"/>
        <v>1</v>
      </c>
      <c r="J31" s="338">
        <v>0</v>
      </c>
      <c r="K31" s="338">
        <v>0</v>
      </c>
      <c r="L31" s="339" t="s">
        <v>573</v>
      </c>
    </row>
    <row r="32" spans="1:12" x14ac:dyDescent="0.3">
      <c r="A32" s="334" t="s">
        <v>512</v>
      </c>
      <c r="B32" s="334" t="s">
        <v>407</v>
      </c>
      <c r="C32" s="335">
        <f>'Work Plan Based BP'!C32+'Carry Over'!C24</f>
        <v>70750</v>
      </c>
      <c r="D32" s="336">
        <f>'Work Plan Based BP'!D32</f>
        <v>36900</v>
      </c>
      <c r="E32" s="336">
        <f>'Work Plan Based BP'!E32</f>
        <v>0</v>
      </c>
      <c r="F32" s="336">
        <f t="shared" si="9"/>
        <v>107650</v>
      </c>
      <c r="G32" s="336">
        <f>'Work Plan Based BP'!G32</f>
        <v>26000</v>
      </c>
      <c r="H32" s="337"/>
      <c r="I32" s="338">
        <f t="shared" si="8"/>
        <v>0.75</v>
      </c>
      <c r="J32" s="338">
        <v>0.25</v>
      </c>
      <c r="K32" s="338">
        <v>0</v>
      </c>
      <c r="L32" s="339" t="s">
        <v>638</v>
      </c>
    </row>
    <row r="33" spans="1:12" x14ac:dyDescent="0.3">
      <c r="A33" s="340">
        <v>6</v>
      </c>
      <c r="B33" s="340" t="s">
        <v>13</v>
      </c>
      <c r="C33" s="341">
        <f>SUM(C34:C37)</f>
        <v>5700</v>
      </c>
      <c r="D33" s="342">
        <f>SUM(D34:D37)</f>
        <v>78250</v>
      </c>
      <c r="E33" s="342">
        <f>SUM(E34:E37)</f>
        <v>0</v>
      </c>
      <c r="F33" s="342">
        <f>SUM(F34:F37)</f>
        <v>83950</v>
      </c>
      <c r="G33" s="342">
        <f>SUM(G34:G37)</f>
        <v>21680</v>
      </c>
      <c r="H33" s="343">
        <f>F33/$F$54</f>
        <v>3.6450870565759193E-2</v>
      </c>
      <c r="I33" s="343"/>
      <c r="J33" s="344"/>
      <c r="K33" s="344"/>
      <c r="L33" s="345"/>
    </row>
    <row r="34" spans="1:12" x14ac:dyDescent="0.3">
      <c r="A34" s="346" t="s">
        <v>515</v>
      </c>
      <c r="B34" s="346" t="s">
        <v>408</v>
      </c>
      <c r="C34" s="347">
        <f>'Work Plan Based BP'!C34</f>
        <v>2850</v>
      </c>
      <c r="D34" s="348">
        <f>'Work Plan Based BP'!D34</f>
        <v>36250</v>
      </c>
      <c r="E34" s="348">
        <f>'Work Plan Based BP'!E34</f>
        <v>0</v>
      </c>
      <c r="F34" s="348">
        <f>SUM(C34:E34)</f>
        <v>39100</v>
      </c>
      <c r="G34" s="348">
        <f>'Work Plan Based BP'!G34</f>
        <v>1050</v>
      </c>
      <c r="H34" s="349"/>
      <c r="I34" s="350">
        <f t="shared" si="8"/>
        <v>0</v>
      </c>
      <c r="J34" s="350">
        <v>0</v>
      </c>
      <c r="K34" s="350">
        <v>1</v>
      </c>
      <c r="L34" s="351" t="str">
        <f>"Assumes development of "&amp; 'Measure and Costs Assumptions'!C18 &amp;" product"</f>
        <v>Assumes development of 1 product</v>
      </c>
    </row>
    <row r="35" spans="1:12" x14ac:dyDescent="0.3">
      <c r="A35" s="346" t="s">
        <v>516</v>
      </c>
      <c r="B35" s="346" t="s">
        <v>409</v>
      </c>
      <c r="C35" s="347">
        <f>'Work Plan Based BP'!C35</f>
        <v>2850</v>
      </c>
      <c r="D35" s="348">
        <f>'Work Plan Based BP'!D35</f>
        <v>17100</v>
      </c>
      <c r="E35" s="348">
        <f>'Work Plan Based BP'!E35</f>
        <v>0</v>
      </c>
      <c r="F35" s="348">
        <f t="shared" ref="F35:F37" si="10">SUM(C35:E35)</f>
        <v>19950</v>
      </c>
      <c r="G35" s="348">
        <f>'Work Plan Based BP'!G35</f>
        <v>1050</v>
      </c>
      <c r="H35" s="349"/>
      <c r="I35" s="350">
        <f t="shared" si="8"/>
        <v>0</v>
      </c>
      <c r="J35" s="350">
        <v>0</v>
      </c>
      <c r="K35" s="350">
        <v>1</v>
      </c>
      <c r="L35" s="351" t="str">
        <f>"Assumes update of "&amp; 'Measure and Costs Assumptions'!C26 &amp;" product"</f>
        <v>Assumes update of 1 product</v>
      </c>
    </row>
    <row r="36" spans="1:12" x14ac:dyDescent="0.3">
      <c r="A36" s="346" t="s">
        <v>517</v>
      </c>
      <c r="B36" s="346" t="s">
        <v>11</v>
      </c>
      <c r="C36" s="347">
        <f>'Work Plan Based BP'!C36</f>
        <v>0</v>
      </c>
      <c r="D36" s="348">
        <f>'Work Plan Based BP'!D36</f>
        <v>15000</v>
      </c>
      <c r="E36" s="348">
        <f>'Work Plan Based BP'!E36</f>
        <v>0</v>
      </c>
      <c r="F36" s="348">
        <f t="shared" si="10"/>
        <v>15000</v>
      </c>
      <c r="G36" s="348">
        <f>'Work Plan Based BP'!G36</f>
        <v>6580</v>
      </c>
      <c r="H36" s="349"/>
      <c r="I36" s="350">
        <v>0</v>
      </c>
      <c r="J36" s="350">
        <v>0</v>
      </c>
      <c r="K36" s="350">
        <v>1</v>
      </c>
      <c r="L36" s="351" t="s">
        <v>603</v>
      </c>
    </row>
    <row r="37" spans="1:12" x14ac:dyDescent="0.3">
      <c r="A37" s="346" t="s">
        <v>518</v>
      </c>
      <c r="B37" s="346" t="s">
        <v>411</v>
      </c>
      <c r="C37" s="347">
        <f>'Work Plan Based BP'!C37</f>
        <v>0</v>
      </c>
      <c r="D37" s="348">
        <f>'Work Plan Based BP'!D37</f>
        <v>9900</v>
      </c>
      <c r="E37" s="348">
        <f>'Work Plan Based BP'!E37</f>
        <v>0</v>
      </c>
      <c r="F37" s="348">
        <f t="shared" si="10"/>
        <v>9900</v>
      </c>
      <c r="G37" s="348">
        <f>'Work Plan Based BP'!G37</f>
        <v>13000</v>
      </c>
      <c r="H37" s="349"/>
      <c r="I37" s="350">
        <f t="shared" si="8"/>
        <v>0</v>
      </c>
      <c r="J37" s="350">
        <v>0</v>
      </c>
      <c r="K37" s="350">
        <v>1</v>
      </c>
      <c r="L37" s="351" t="s">
        <v>576</v>
      </c>
    </row>
    <row r="38" spans="1:12" x14ac:dyDescent="0.3">
      <c r="A38" s="340">
        <v>7</v>
      </c>
      <c r="B38" s="340" t="s">
        <v>41</v>
      </c>
      <c r="C38" s="341">
        <f>SUM(C39:C39)</f>
        <v>66800</v>
      </c>
      <c r="D38" s="342">
        <f>SUM(D39:D39)</f>
        <v>10000</v>
      </c>
      <c r="E38" s="342">
        <f>SUM(E39:E39)</f>
        <v>0</v>
      </c>
      <c r="F38" s="342">
        <f>SUM(F39:F39)</f>
        <v>76800</v>
      </c>
      <c r="G38" s="342">
        <f>SUM(G39:G39)</f>
        <v>0</v>
      </c>
      <c r="H38" s="343">
        <f>F38/$F$54</f>
        <v>3.3346359254917288E-2</v>
      </c>
      <c r="I38" s="343">
        <f t="shared" si="8"/>
        <v>1</v>
      </c>
      <c r="J38" s="344"/>
      <c r="K38" s="344"/>
      <c r="L38" s="345"/>
    </row>
    <row r="39" spans="1:12" x14ac:dyDescent="0.3">
      <c r="A39" s="346" t="s">
        <v>632</v>
      </c>
      <c r="B39" s="346" t="s">
        <v>633</v>
      </c>
      <c r="C39" s="347">
        <f>'Work Plan Based BP'!C39+'Carry Over'!C23</f>
        <v>66800</v>
      </c>
      <c r="D39" s="348">
        <f>'Work Plan Based BP'!D39</f>
        <v>10000</v>
      </c>
      <c r="E39" s="348">
        <f>'Work Plan Based BP'!E39</f>
        <v>0</v>
      </c>
      <c r="F39" s="348">
        <f>SUM(C39:E39)</f>
        <v>76800</v>
      </c>
      <c r="G39" s="348">
        <f>'Work Plan Based BP'!G39</f>
        <v>0</v>
      </c>
      <c r="H39" s="349"/>
      <c r="I39" s="350">
        <f t="shared" si="8"/>
        <v>0.75</v>
      </c>
      <c r="J39" s="350">
        <v>0.25</v>
      </c>
      <c r="K39" s="350">
        <v>0</v>
      </c>
      <c r="L39" s="351" t="s">
        <v>637</v>
      </c>
    </row>
    <row r="40" spans="1:12" x14ac:dyDescent="0.3">
      <c r="A40" s="352">
        <v>8</v>
      </c>
      <c r="B40" s="352" t="s">
        <v>414</v>
      </c>
      <c r="C40" s="353">
        <f>SUM(C41:C42)</f>
        <v>61240</v>
      </c>
      <c r="D40" s="354">
        <f>SUM(D41:D42)</f>
        <v>0</v>
      </c>
      <c r="E40" s="354">
        <f>SUM(E41:E42)</f>
        <v>0</v>
      </c>
      <c r="F40" s="354">
        <f>SUM(F41:F42)</f>
        <v>61240</v>
      </c>
      <c r="G40" s="354">
        <f>SUM(G41:G42)</f>
        <v>29000</v>
      </c>
      <c r="H40" s="355">
        <f>F40/$F$54</f>
        <v>2.6590247926707482E-2</v>
      </c>
      <c r="I40" s="355"/>
      <c r="J40" s="356"/>
      <c r="K40" s="356"/>
      <c r="L40" s="357"/>
    </row>
    <row r="41" spans="1:12" x14ac:dyDescent="0.3">
      <c r="A41" s="358" t="s">
        <v>519</v>
      </c>
      <c r="B41" s="358" t="s">
        <v>415</v>
      </c>
      <c r="C41" s="359">
        <f>'Work Plan Based BP'!C41</f>
        <v>900</v>
      </c>
      <c r="D41" s="360">
        <f>'Work Plan Based BP'!D41</f>
        <v>0</v>
      </c>
      <c r="E41" s="360">
        <f>'Work Plan Based BP'!E41</f>
        <v>0</v>
      </c>
      <c r="F41" s="360">
        <f>SUM(C41:E41)</f>
        <v>900</v>
      </c>
      <c r="G41" s="360">
        <f>'Work Plan Based BP'!G41</f>
        <v>15000</v>
      </c>
      <c r="H41" s="361"/>
      <c r="I41" s="362">
        <f>1-SUM(J41:K41)</f>
        <v>0.75</v>
      </c>
      <c r="J41" s="362">
        <v>0.25</v>
      </c>
      <c r="K41" s="362">
        <v>0</v>
      </c>
      <c r="L41" s="363" t="s">
        <v>607</v>
      </c>
    </row>
    <row r="42" spans="1:12" x14ac:dyDescent="0.3">
      <c r="A42" s="358" t="s">
        <v>520</v>
      </c>
      <c r="B42" s="358" t="s">
        <v>416</v>
      </c>
      <c r="C42" s="359">
        <f>'Work Plan Based BP'!C42</f>
        <v>60340</v>
      </c>
      <c r="D42" s="360">
        <f>'Work Plan Based BP'!D42</f>
        <v>0</v>
      </c>
      <c r="E42" s="360">
        <f>'Work Plan Based BP'!E42</f>
        <v>0</v>
      </c>
      <c r="F42" s="360">
        <f>SUM(C42:E42)</f>
        <v>60340</v>
      </c>
      <c r="G42" s="360">
        <f>'Work Plan Based BP'!G42</f>
        <v>14000</v>
      </c>
      <c r="H42" s="361"/>
      <c r="I42" s="362">
        <f>1-SUM(J42:K42)</f>
        <v>1</v>
      </c>
      <c r="J42" s="362">
        <v>0</v>
      </c>
      <c r="K42" s="362">
        <v>0</v>
      </c>
      <c r="L42" s="363" t="s">
        <v>417</v>
      </c>
    </row>
    <row r="43" spans="1:12" x14ac:dyDescent="0.3">
      <c r="A43" s="352">
        <v>9</v>
      </c>
      <c r="B43" s="352" t="s">
        <v>412</v>
      </c>
      <c r="C43" s="353">
        <f>SUM(C44:C45)</f>
        <v>133660</v>
      </c>
      <c r="D43" s="354">
        <f>SUM(D44:D45)</f>
        <v>168900</v>
      </c>
      <c r="E43" s="354">
        <f>SUM(E44:E45)</f>
        <v>0</v>
      </c>
      <c r="F43" s="354">
        <f>SUM(F44:F45)</f>
        <v>302560</v>
      </c>
      <c r="G43" s="354">
        <f>SUM(G44:G45)</f>
        <v>15000</v>
      </c>
      <c r="H43" s="355">
        <f>F43/$F$54</f>
        <v>0.13137076114801788</v>
      </c>
      <c r="I43" s="355"/>
      <c r="J43" s="356"/>
      <c r="K43" s="356"/>
      <c r="L43" s="357"/>
    </row>
    <row r="44" spans="1:12" x14ac:dyDescent="0.3">
      <c r="A44" s="358" t="s">
        <v>521</v>
      </c>
      <c r="B44" s="358" t="s">
        <v>413</v>
      </c>
      <c r="C44" s="359">
        <f>'Work Plan Based BP'!C44</f>
        <v>33660</v>
      </c>
      <c r="D44" s="360">
        <f>'Work Plan Based BP'!D44</f>
        <v>0</v>
      </c>
      <c r="E44" s="360">
        <f>'Work Plan Based BP'!E44</f>
        <v>0</v>
      </c>
      <c r="F44" s="360">
        <f>SUM(C44:E44)</f>
        <v>33660</v>
      </c>
      <c r="G44" s="360">
        <f>'Work Plan Based BP'!G44</f>
        <v>15000</v>
      </c>
      <c r="H44" s="361"/>
      <c r="I44" s="362">
        <f t="shared" si="8"/>
        <v>0.75</v>
      </c>
      <c r="J44" s="362">
        <v>0.25</v>
      </c>
      <c r="K44" s="362">
        <v>0</v>
      </c>
      <c r="L44" s="363" t="str">
        <f>"Assumes costs for minutes at all RTF and RTF PAC meetings and lunches for "&amp; 'Measure and Costs Assumptions'!J15 &amp;" in person meetings"</f>
        <v>Assumes costs for minutes at all RTF and RTF PAC meetings and lunches for 8 in person meetings</v>
      </c>
    </row>
    <row r="45" spans="1:12" x14ac:dyDescent="0.3">
      <c r="A45" s="358" t="s">
        <v>522</v>
      </c>
      <c r="B45" s="358" t="s">
        <v>523</v>
      </c>
      <c r="C45" s="359">
        <f>'Work Plan Based BP'!C45</f>
        <v>100000</v>
      </c>
      <c r="D45" s="360">
        <f>'Work Plan Based BP'!D45</f>
        <v>168900</v>
      </c>
      <c r="E45" s="360">
        <f>'Work Plan Based BP'!E45</f>
        <v>0</v>
      </c>
      <c r="F45" s="360">
        <f>SUM(C45:E45)</f>
        <v>268900</v>
      </c>
      <c r="G45" s="360">
        <f>'Work Plan Based BP'!G45</f>
        <v>0</v>
      </c>
      <c r="H45" s="361"/>
      <c r="I45" s="362">
        <f t="shared" si="8"/>
        <v>0.75</v>
      </c>
      <c r="J45" s="362">
        <v>0.25</v>
      </c>
      <c r="K45" s="362">
        <v>0</v>
      </c>
      <c r="L45" s="363" t="s">
        <v>574</v>
      </c>
    </row>
    <row r="46" spans="1:12" x14ac:dyDescent="0.3">
      <c r="A46" s="352">
        <v>10</v>
      </c>
      <c r="B46" s="352" t="s">
        <v>15</v>
      </c>
      <c r="C46" s="353">
        <f>SUM(C47:C53)</f>
        <v>7500</v>
      </c>
      <c r="D46" s="354">
        <f>SUM(D47:D53)</f>
        <v>5000</v>
      </c>
      <c r="E46" s="354">
        <f>SUM(E47:E53)</f>
        <v>171000</v>
      </c>
      <c r="F46" s="354">
        <f>SUM(F47:F53)</f>
        <v>183500</v>
      </c>
      <c r="G46" s="354">
        <f>SUM(G47:G53)</f>
        <v>39310</v>
      </c>
      <c r="H46" s="355">
        <f>F46/$F$54</f>
        <v>7.9675220355173465E-2</v>
      </c>
      <c r="I46" s="355"/>
      <c r="J46" s="356"/>
      <c r="K46" s="356"/>
      <c r="L46" s="357"/>
    </row>
    <row r="47" spans="1:12" x14ac:dyDescent="0.3">
      <c r="A47" s="358" t="s">
        <v>524</v>
      </c>
      <c r="B47" s="358" t="s">
        <v>418</v>
      </c>
      <c r="C47" s="359">
        <f>'Work Plan Based BP'!C47</f>
        <v>0</v>
      </c>
      <c r="D47" s="360">
        <f>'Work Plan Based BP'!D47</f>
        <v>0</v>
      </c>
      <c r="E47" s="360">
        <f>'Work Plan Based BP'!E47</f>
        <v>33400</v>
      </c>
      <c r="F47" s="360">
        <f>SUM(C47:E47)</f>
        <v>33400</v>
      </c>
      <c r="G47" s="360">
        <f>'Work Plan Based BP'!G47</f>
        <v>8810</v>
      </c>
      <c r="H47" s="361"/>
      <c r="I47" s="362">
        <f t="shared" si="8"/>
        <v>0.75</v>
      </c>
      <c r="J47" s="362">
        <v>0.25</v>
      </c>
      <c r="K47" s="362">
        <v>0</v>
      </c>
      <c r="L47" s="363" t="s">
        <v>419</v>
      </c>
    </row>
    <row r="48" spans="1:12" x14ac:dyDescent="0.3">
      <c r="A48" s="358" t="s">
        <v>524</v>
      </c>
      <c r="B48" s="358" t="s">
        <v>420</v>
      </c>
      <c r="C48" s="359">
        <f>'Work Plan Based BP'!C48</f>
        <v>0</v>
      </c>
      <c r="D48" s="360">
        <f>'Work Plan Based BP'!D48</f>
        <v>0</v>
      </c>
      <c r="E48" s="360">
        <f>'Work Plan Based BP'!E48</f>
        <v>50100</v>
      </c>
      <c r="F48" s="360">
        <f t="shared" ref="F48:F53" si="11">SUM(C48:E48)</f>
        <v>50100</v>
      </c>
      <c r="G48" s="360">
        <f>'Work Plan Based BP'!G48</f>
        <v>5500</v>
      </c>
      <c r="H48" s="361"/>
      <c r="I48" s="362">
        <f t="shared" si="8"/>
        <v>0.75</v>
      </c>
      <c r="J48" s="362">
        <v>0.25</v>
      </c>
      <c r="K48" s="362">
        <v>0</v>
      </c>
      <c r="L48" s="363" t="s">
        <v>421</v>
      </c>
    </row>
    <row r="49" spans="1:12" x14ac:dyDescent="0.3">
      <c r="A49" s="358" t="s">
        <v>524</v>
      </c>
      <c r="B49" s="358" t="s">
        <v>422</v>
      </c>
      <c r="C49" s="359">
        <f>'Work Plan Based BP'!C49</f>
        <v>7500</v>
      </c>
      <c r="D49" s="360">
        <f>'Work Plan Based BP'!D49</f>
        <v>0</v>
      </c>
      <c r="E49" s="360">
        <f>'Work Plan Based BP'!E49</f>
        <v>31730</v>
      </c>
      <c r="F49" s="360">
        <f t="shared" si="11"/>
        <v>39230</v>
      </c>
      <c r="G49" s="360">
        <f>'Work Plan Based BP'!G49</f>
        <v>10000</v>
      </c>
      <c r="H49" s="361"/>
      <c r="I49" s="362">
        <f t="shared" si="8"/>
        <v>0.75</v>
      </c>
      <c r="J49" s="362">
        <v>0.25</v>
      </c>
      <c r="K49" s="362">
        <v>0</v>
      </c>
      <c r="L49" s="363" t="s">
        <v>423</v>
      </c>
    </row>
    <row r="50" spans="1:12" x14ac:dyDescent="0.3">
      <c r="A50" s="358" t="s">
        <v>524</v>
      </c>
      <c r="B50" s="358" t="s">
        <v>424</v>
      </c>
      <c r="C50" s="359">
        <f>'Work Plan Based BP'!C50</f>
        <v>0</v>
      </c>
      <c r="D50" s="360">
        <f>'Work Plan Based BP'!D50</f>
        <v>5000</v>
      </c>
      <c r="E50" s="360">
        <f>'Work Plan Based BP'!E50</f>
        <v>16700</v>
      </c>
      <c r="F50" s="360">
        <f t="shared" si="11"/>
        <v>21700</v>
      </c>
      <c r="G50" s="360">
        <f>'Work Plan Based BP'!G50</f>
        <v>5000</v>
      </c>
      <c r="H50" s="361"/>
      <c r="I50" s="362">
        <f t="shared" si="8"/>
        <v>0.75</v>
      </c>
      <c r="J50" s="362">
        <v>0.25</v>
      </c>
      <c r="K50" s="362">
        <v>0</v>
      </c>
      <c r="L50" s="363" t="s">
        <v>425</v>
      </c>
    </row>
    <row r="51" spans="1:12" x14ac:dyDescent="0.3">
      <c r="A51" s="358" t="s">
        <v>524</v>
      </c>
      <c r="B51" s="358" t="s">
        <v>426</v>
      </c>
      <c r="C51" s="359">
        <f>'Work Plan Based BP'!C51</f>
        <v>0</v>
      </c>
      <c r="D51" s="360">
        <f>'Work Plan Based BP'!D51</f>
        <v>0</v>
      </c>
      <c r="E51" s="360">
        <f>'Work Plan Based BP'!E51</f>
        <v>33400</v>
      </c>
      <c r="F51" s="360">
        <f t="shared" si="11"/>
        <v>33400</v>
      </c>
      <c r="G51" s="360">
        <f>'Work Plan Based BP'!G51</f>
        <v>5000</v>
      </c>
      <c r="H51" s="361"/>
      <c r="I51" s="362">
        <f t="shared" si="8"/>
        <v>0.75</v>
      </c>
      <c r="J51" s="362">
        <v>0.25</v>
      </c>
      <c r="K51" s="362">
        <v>0</v>
      </c>
      <c r="L51" s="363" t="s">
        <v>427</v>
      </c>
    </row>
    <row r="52" spans="1:12" x14ac:dyDescent="0.3">
      <c r="A52" s="358" t="s">
        <v>524</v>
      </c>
      <c r="B52" s="358" t="s">
        <v>428</v>
      </c>
      <c r="C52" s="359">
        <f>'Work Plan Based BP'!C52</f>
        <v>0</v>
      </c>
      <c r="D52" s="360">
        <f>'Work Plan Based BP'!D52</f>
        <v>0</v>
      </c>
      <c r="E52" s="360">
        <f>'Work Plan Based BP'!E52</f>
        <v>1670</v>
      </c>
      <c r="F52" s="360">
        <f t="shared" si="11"/>
        <v>1670</v>
      </c>
      <c r="G52" s="360">
        <f>'Work Plan Based BP'!G52</f>
        <v>5000</v>
      </c>
      <c r="H52" s="361"/>
      <c r="I52" s="362">
        <f t="shared" si="8"/>
        <v>0.75</v>
      </c>
      <c r="J52" s="362">
        <v>0.25</v>
      </c>
      <c r="K52" s="362">
        <v>0</v>
      </c>
      <c r="L52" s="363" t="s">
        <v>429</v>
      </c>
    </row>
    <row r="53" spans="1:12" x14ac:dyDescent="0.3">
      <c r="A53" s="358" t="s">
        <v>524</v>
      </c>
      <c r="B53" s="358" t="s">
        <v>109</v>
      </c>
      <c r="C53" s="359">
        <f>'Work Plan Based BP'!C53</f>
        <v>0</v>
      </c>
      <c r="D53" s="360">
        <f>'Work Plan Based BP'!D53</f>
        <v>0</v>
      </c>
      <c r="E53" s="360">
        <f>'Work Plan Based BP'!E53</f>
        <v>4000</v>
      </c>
      <c r="F53" s="360">
        <f t="shared" si="11"/>
        <v>4000</v>
      </c>
      <c r="G53" s="360">
        <f>'Work Plan Based BP'!G53</f>
        <v>0</v>
      </c>
      <c r="H53" s="361"/>
      <c r="I53" s="362">
        <f t="shared" si="8"/>
        <v>0.75</v>
      </c>
      <c r="J53" s="362">
        <v>0.25</v>
      </c>
      <c r="K53" s="362">
        <v>0</v>
      </c>
      <c r="L53" s="363" t="s">
        <v>430</v>
      </c>
    </row>
    <row r="54" spans="1:12" s="369" customFormat="1" ht="18" x14ac:dyDescent="0.35">
      <c r="A54" s="364"/>
      <c r="B54" s="364" t="s">
        <v>431</v>
      </c>
      <c r="C54" s="365">
        <f t="shared" ref="C54:H54" si="12">SUM(C7,C13,C20,C24,C28,C33,C38,C43,C40,C46)</f>
        <v>603250</v>
      </c>
      <c r="D54" s="366">
        <f t="shared" si="12"/>
        <v>1528850</v>
      </c>
      <c r="E54" s="366">
        <f t="shared" si="12"/>
        <v>171000</v>
      </c>
      <c r="F54" s="366">
        <f t="shared" si="12"/>
        <v>2303100</v>
      </c>
      <c r="G54" s="366">
        <f t="shared" si="12"/>
        <v>205000</v>
      </c>
      <c r="H54" s="367">
        <f t="shared" si="12"/>
        <v>1</v>
      </c>
      <c r="I54" s="367"/>
      <c r="J54" s="367"/>
      <c r="K54" s="367"/>
      <c r="L54" s="368"/>
    </row>
    <row r="56" spans="1:12" s="370" customFormat="1" x14ac:dyDescent="0.3">
      <c r="D56" s="371"/>
      <c r="G56" s="371"/>
    </row>
    <row r="57" spans="1:12" s="370" customFormat="1" x14ac:dyDescent="0.3">
      <c r="D57" s="371"/>
      <c r="G57" s="372"/>
    </row>
    <row r="58" spans="1:12" s="370" customFormat="1" x14ac:dyDescent="0.3">
      <c r="C58" s="373"/>
      <c r="L58" s="371"/>
    </row>
    <row r="59" spans="1:12" s="370" customFormat="1" x14ac:dyDescent="0.3">
      <c r="C59" s="373"/>
      <c r="L59" s="371"/>
    </row>
    <row r="60" spans="1:12" s="370" customFormat="1" x14ac:dyDescent="0.3">
      <c r="B60" s="371"/>
      <c r="L60" s="372"/>
    </row>
    <row r="61" spans="1:12" s="370" customFormat="1" x14ac:dyDescent="0.3">
      <c r="D61" s="374"/>
    </row>
    <row r="62" spans="1:12" s="370" customFormat="1" x14ac:dyDescent="0.3">
      <c r="B62" s="374"/>
      <c r="C62" s="374"/>
      <c r="D62" s="375"/>
      <c r="E62" s="374"/>
    </row>
    <row r="63" spans="1:12" s="370" customFormat="1" x14ac:dyDescent="0.3">
      <c r="B63" s="374"/>
      <c r="C63" s="374"/>
      <c r="D63" s="374"/>
      <c r="E63" s="374"/>
    </row>
    <row r="64" spans="1:12" x14ac:dyDescent="0.3">
      <c r="B64" s="325"/>
      <c r="C64" s="325"/>
      <c r="D64" s="325"/>
      <c r="E64" s="325"/>
    </row>
    <row r="65" spans="2:6" x14ac:dyDescent="0.3">
      <c r="B65" s="325"/>
      <c r="C65" s="325"/>
      <c r="D65" s="325"/>
      <c r="E65" s="325"/>
    </row>
    <row r="66" spans="2:6" x14ac:dyDescent="0.3">
      <c r="B66" s="325"/>
      <c r="C66" s="325"/>
      <c r="D66" s="325"/>
      <c r="E66" s="325"/>
      <c r="F66" s="298"/>
    </row>
    <row r="67" spans="2:6" x14ac:dyDescent="0.3">
      <c r="B67" s="325"/>
      <c r="C67" s="325"/>
      <c r="D67" s="325"/>
      <c r="E67" s="325"/>
    </row>
    <row r="68" spans="2:6" x14ac:dyDescent="0.3">
      <c r="B68" s="325"/>
      <c r="C68" s="325"/>
      <c r="D68" s="325"/>
      <c r="E68" s="325"/>
    </row>
    <row r="69" spans="2:6" x14ac:dyDescent="0.3">
      <c r="B69" s="325"/>
      <c r="C69" s="325"/>
      <c r="D69" s="325"/>
      <c r="E69" s="325"/>
    </row>
    <row r="70" spans="2:6" x14ac:dyDescent="0.3">
      <c r="B70" s="325"/>
      <c r="C70" s="325"/>
      <c r="D70" s="325"/>
      <c r="E70" s="325"/>
    </row>
    <row r="71" spans="2:6" x14ac:dyDescent="0.3">
      <c r="B71" s="325"/>
      <c r="C71" s="325"/>
      <c r="D71" s="325"/>
      <c r="E71" s="325"/>
    </row>
    <row r="72" spans="2:6" x14ac:dyDescent="0.3">
      <c r="B72" s="325"/>
      <c r="C72" s="325"/>
      <c r="D72" s="325"/>
      <c r="E72" s="325"/>
    </row>
    <row r="73" spans="2:6" x14ac:dyDescent="0.3">
      <c r="B73" s="325"/>
      <c r="C73" s="325"/>
      <c r="D73" s="325"/>
      <c r="E73" s="325"/>
    </row>
    <row r="74" spans="2:6" x14ac:dyDescent="0.3">
      <c r="B74" s="325"/>
      <c r="C74" s="325"/>
      <c r="D74" s="325"/>
      <c r="E74" s="325"/>
    </row>
    <row r="75" spans="2:6" x14ac:dyDescent="0.3">
      <c r="B75" s="325"/>
      <c r="C75" s="325"/>
      <c r="D75" s="325"/>
      <c r="E75" s="325"/>
    </row>
    <row r="76" spans="2:6" x14ac:dyDescent="0.3">
      <c r="B76" s="325"/>
      <c r="C76" s="325"/>
      <c r="D76" s="325"/>
      <c r="E76" s="325"/>
    </row>
    <row r="77" spans="2:6" x14ac:dyDescent="0.3">
      <c r="B77" s="325"/>
      <c r="C77" s="325"/>
      <c r="D77" s="325"/>
      <c r="E77" s="325"/>
    </row>
    <row r="78" spans="2:6" x14ac:dyDescent="0.3">
      <c r="B78" s="325"/>
      <c r="C78" s="325"/>
      <c r="D78" s="325"/>
      <c r="E78" s="325"/>
    </row>
    <row r="79" spans="2:6" x14ac:dyDescent="0.3">
      <c r="B79" s="325"/>
      <c r="C79" s="325"/>
      <c r="D79" s="325"/>
      <c r="E79" s="325"/>
    </row>
    <row r="80" spans="2:6" x14ac:dyDescent="0.3">
      <c r="B80" s="325"/>
      <c r="C80" s="325"/>
      <c r="D80" s="325"/>
      <c r="E80" s="325"/>
    </row>
    <row r="81" spans="2:5" x14ac:dyDescent="0.3">
      <c r="B81" s="325"/>
      <c r="C81" s="325"/>
      <c r="D81" s="325"/>
      <c r="E81" s="325"/>
    </row>
    <row r="82" spans="2:5" x14ac:dyDescent="0.3">
      <c r="B82" s="325"/>
      <c r="C82" s="325"/>
      <c r="D82" s="325"/>
      <c r="E82" s="325"/>
    </row>
    <row r="83" spans="2:5" x14ac:dyDescent="0.3">
      <c r="B83" s="325"/>
      <c r="C83" s="325"/>
      <c r="D83" s="325"/>
      <c r="E83" s="325"/>
    </row>
    <row r="84" spans="2:5" x14ac:dyDescent="0.3">
      <c r="B84" s="325"/>
      <c r="C84" s="325"/>
      <c r="D84" s="325"/>
      <c r="E84" s="325"/>
    </row>
    <row r="85" spans="2:5" x14ac:dyDescent="0.3">
      <c r="B85" s="325"/>
      <c r="C85" s="325"/>
      <c r="D85" s="325"/>
      <c r="E85" s="325"/>
    </row>
    <row r="86" spans="2:5" x14ac:dyDescent="0.3">
      <c r="B86" s="325"/>
      <c r="C86" s="325"/>
      <c r="D86" s="325"/>
      <c r="E86" s="325"/>
    </row>
    <row r="87" spans="2:5" x14ac:dyDescent="0.3">
      <c r="B87" s="325"/>
      <c r="C87" s="325"/>
      <c r="D87" s="325"/>
      <c r="E87" s="325"/>
    </row>
    <row r="88" spans="2:5" x14ac:dyDescent="0.3">
      <c r="B88" s="325"/>
      <c r="C88" s="325"/>
      <c r="D88" s="325"/>
      <c r="E88" s="325"/>
    </row>
    <row r="89" spans="2:5" x14ac:dyDescent="0.3">
      <c r="B89" s="325"/>
      <c r="C89" s="325"/>
      <c r="D89" s="325"/>
      <c r="E89" s="325"/>
    </row>
    <row r="90" spans="2:5" x14ac:dyDescent="0.3">
      <c r="B90" s="325"/>
      <c r="C90" s="325"/>
      <c r="D90" s="325"/>
      <c r="E90" s="325"/>
    </row>
    <row r="91" spans="2:5" x14ac:dyDescent="0.3">
      <c r="B91" s="325"/>
      <c r="C91" s="325"/>
      <c r="D91" s="325"/>
      <c r="E91" s="325"/>
    </row>
    <row r="92" spans="2:5" x14ac:dyDescent="0.3">
      <c r="B92" s="325"/>
      <c r="C92" s="325"/>
      <c r="D92" s="325"/>
      <c r="E92" s="325"/>
    </row>
    <row r="93" spans="2:5" x14ac:dyDescent="0.3">
      <c r="B93" s="325"/>
      <c r="C93" s="325"/>
      <c r="D93" s="325"/>
      <c r="E93" s="325"/>
    </row>
    <row r="94" spans="2:5" x14ac:dyDescent="0.3">
      <c r="B94" s="325"/>
      <c r="C94" s="325"/>
      <c r="D94" s="325"/>
      <c r="E94" s="325"/>
    </row>
    <row r="95" spans="2:5" x14ac:dyDescent="0.3">
      <c r="B95" s="325"/>
      <c r="C95" s="325"/>
      <c r="D95" s="325"/>
      <c r="E95" s="325"/>
    </row>
    <row r="96" spans="2:5" x14ac:dyDescent="0.3">
      <c r="B96" s="325"/>
      <c r="C96" s="325"/>
      <c r="D96" s="325"/>
      <c r="E96" s="325"/>
    </row>
    <row r="97" spans="2:5" x14ac:dyDescent="0.3">
      <c r="B97" s="325"/>
      <c r="C97" s="325"/>
      <c r="D97" s="325"/>
      <c r="E97" s="325"/>
    </row>
    <row r="98" spans="2:5" x14ac:dyDescent="0.3">
      <c r="B98" s="325"/>
      <c r="C98" s="325"/>
      <c r="D98" s="325"/>
      <c r="E98" s="325"/>
    </row>
    <row r="99" spans="2:5" x14ac:dyDescent="0.3">
      <c r="B99" s="325"/>
      <c r="C99" s="325"/>
      <c r="D99" s="325"/>
      <c r="E99" s="325"/>
    </row>
    <row r="100" spans="2:5" x14ac:dyDescent="0.3">
      <c r="B100" s="325"/>
      <c r="C100" s="325"/>
      <c r="D100" s="325"/>
      <c r="E100" s="325"/>
    </row>
    <row r="101" spans="2:5" x14ac:dyDescent="0.3">
      <c r="B101" s="325"/>
      <c r="C101" s="325"/>
      <c r="D101" s="325"/>
      <c r="E101" s="325"/>
    </row>
    <row r="102" spans="2:5" x14ac:dyDescent="0.3">
      <c r="B102" s="325"/>
      <c r="C102" s="325"/>
      <c r="D102" s="325"/>
      <c r="E102" s="325"/>
    </row>
    <row r="103" spans="2:5" x14ac:dyDescent="0.3">
      <c r="B103" s="325"/>
      <c r="C103" s="325"/>
      <c r="D103" s="325"/>
      <c r="E103" s="325"/>
    </row>
    <row r="104" spans="2:5" x14ac:dyDescent="0.3">
      <c r="B104" s="325"/>
      <c r="C104" s="325"/>
      <c r="D104" s="325"/>
      <c r="E104" s="325"/>
    </row>
    <row r="105" spans="2:5" x14ac:dyDescent="0.3">
      <c r="B105" s="325"/>
      <c r="C105" s="325"/>
      <c r="D105" s="325"/>
      <c r="E105" s="325"/>
    </row>
    <row r="106" spans="2:5" x14ac:dyDescent="0.3">
      <c r="B106" s="325"/>
      <c r="C106" s="325"/>
      <c r="D106" s="325"/>
      <c r="E106" s="325"/>
    </row>
    <row r="107" spans="2:5" x14ac:dyDescent="0.3">
      <c r="B107" s="325"/>
      <c r="C107" s="325"/>
      <c r="D107" s="325"/>
      <c r="E107" s="325"/>
    </row>
    <row r="108" spans="2:5" x14ac:dyDescent="0.3">
      <c r="B108" s="325"/>
      <c r="C108" s="325"/>
      <c r="D108" s="325"/>
      <c r="E108" s="325"/>
    </row>
    <row r="109" spans="2:5" x14ac:dyDescent="0.3">
      <c r="B109" s="325"/>
      <c r="C109" s="325"/>
      <c r="D109" s="325"/>
      <c r="E109" s="325"/>
    </row>
    <row r="110" spans="2:5" x14ac:dyDescent="0.3">
      <c r="B110" s="325"/>
      <c r="C110" s="325"/>
      <c r="D110" s="325"/>
      <c r="E110" s="325"/>
    </row>
    <row r="111" spans="2:5" x14ac:dyDescent="0.3">
      <c r="B111" s="325"/>
      <c r="C111" s="325"/>
      <c r="D111" s="325"/>
      <c r="E111" s="325"/>
    </row>
    <row r="112" spans="2:5" x14ac:dyDescent="0.3">
      <c r="B112" s="325"/>
      <c r="C112" s="325"/>
      <c r="D112" s="325"/>
      <c r="E112" s="325"/>
    </row>
    <row r="113" spans="2:5" x14ac:dyDescent="0.3">
      <c r="B113" s="325"/>
      <c r="C113" s="325"/>
      <c r="D113" s="325"/>
      <c r="E113" s="325"/>
    </row>
    <row r="114" spans="2:5" x14ac:dyDescent="0.3">
      <c r="B114" s="325"/>
      <c r="C114" s="325"/>
      <c r="D114" s="325"/>
      <c r="E114" s="325"/>
    </row>
  </sheetData>
  <autoFilter ref="B6:L6" xr:uid="{DFA20F45-5F8A-4C34-85C8-333A4E83DBF0}"/>
  <mergeCells count="4">
    <mergeCell ref="C5:H5"/>
    <mergeCell ref="I5:K5"/>
    <mergeCell ref="I4:K4"/>
    <mergeCell ref="I3:K3"/>
  </mergeCells>
  <conditionalFormatting sqref="G6">
    <cfRule type="expression" dxfId="15" priority="1">
      <formula>$G$57&lt;0</formula>
    </cfRule>
    <cfRule type="expression" dxfId="14" priority="2">
      <formula>$G$57&gt;0</formula>
    </cfRule>
  </conditionalFormatting>
  <conditionalFormatting sqref="L5">
    <cfRule type="cellIs" dxfId="13" priority="3" operator="notEqual">
      <formula>$F$54</formula>
    </cfRule>
    <cfRule type="cellIs" dxfId="12" priority="4" operator="equal">
      <formula>$F$54</formula>
    </cfRule>
  </conditionalFormatting>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CE427-0AF7-4F3E-BA83-F21A42BCE331}">
  <sheetPr codeName="Sheet5"/>
  <dimension ref="B1:S104"/>
  <sheetViews>
    <sheetView workbookViewId="0">
      <selection activeCell="K40" sqref="K40"/>
    </sheetView>
  </sheetViews>
  <sheetFormatPr defaultColWidth="9.109375" defaultRowHeight="13.8" x14ac:dyDescent="0.3"/>
  <cols>
    <col min="1" max="1" width="9.109375" style="95"/>
    <col min="2" max="2" width="59.109375" style="95" customWidth="1"/>
    <col min="3" max="3" width="16" style="95" bestFit="1" customWidth="1"/>
    <col min="4" max="7" width="15.6640625" style="95" bestFit="1" customWidth="1"/>
    <col min="8" max="8" width="16.33203125" style="95" customWidth="1"/>
    <col min="9" max="9" width="18.33203125" style="95" customWidth="1"/>
    <col min="10" max="14" width="14.109375" style="95" customWidth="1"/>
    <col min="15" max="15" width="8.109375" style="95" bestFit="1" customWidth="1"/>
    <col min="16" max="16" width="9.109375" style="95"/>
    <col min="17" max="21" width="14.6640625" style="95" customWidth="1"/>
    <col min="22" max="22" width="8.109375" style="95" bestFit="1" customWidth="1"/>
    <col min="23" max="16384" width="9.109375" style="95"/>
  </cols>
  <sheetData>
    <row r="1" spans="2:19" ht="18" x14ac:dyDescent="0.35">
      <c r="B1" s="1" t="s">
        <v>49</v>
      </c>
    </row>
    <row r="2" spans="2:19" ht="14.4" x14ac:dyDescent="0.3">
      <c r="B2" s="3" t="str">
        <f>'Table of Contents'!B2</f>
        <v>Final 2026 RTF Work Plan - October 7, 2025</v>
      </c>
    </row>
    <row r="3" spans="2:19" ht="14.4" x14ac:dyDescent="0.3">
      <c r="B3" s="3"/>
    </row>
    <row r="5" spans="2:19" s="69" customFormat="1" ht="36.6" thickBot="1" x14ac:dyDescent="0.4">
      <c r="C5" s="70">
        <v>2025</v>
      </c>
      <c r="D5" s="70">
        <v>2026</v>
      </c>
      <c r="E5" s="70">
        <v>2027</v>
      </c>
      <c r="F5" s="70">
        <v>2028</v>
      </c>
      <c r="G5" s="70">
        <v>2029</v>
      </c>
      <c r="H5" s="94" t="s">
        <v>50</v>
      </c>
      <c r="I5" s="94" t="s">
        <v>51</v>
      </c>
      <c r="K5" s="71"/>
      <c r="L5" s="71"/>
      <c r="M5" s="71"/>
      <c r="N5" s="71"/>
      <c r="O5" s="71"/>
      <c r="P5" s="71"/>
      <c r="Q5" s="71"/>
      <c r="R5" s="71"/>
      <c r="S5" s="72"/>
    </row>
    <row r="6" spans="2:19" s="69" customFormat="1" ht="18.600000000000001" thickBot="1" x14ac:dyDescent="0.4">
      <c r="B6" s="415" t="s">
        <v>625</v>
      </c>
      <c r="C6" s="416">
        <v>2106300</v>
      </c>
      <c r="D6" s="416">
        <v>2180100</v>
      </c>
      <c r="E6" s="416">
        <v>2256400</v>
      </c>
      <c r="F6" s="416">
        <v>2335400</v>
      </c>
      <c r="G6" s="416">
        <v>2417100</v>
      </c>
      <c r="H6" s="416">
        <v>11295300</v>
      </c>
      <c r="I6" s="417"/>
      <c r="K6" s="268"/>
      <c r="L6" s="269"/>
      <c r="M6" s="270"/>
      <c r="N6" s="270"/>
      <c r="O6" s="270"/>
      <c r="P6" s="270"/>
      <c r="Q6" s="270"/>
      <c r="R6" s="271"/>
      <c r="S6" s="72"/>
    </row>
    <row r="7" spans="2:19" s="69" customFormat="1" ht="18" x14ac:dyDescent="0.35">
      <c r="B7" s="419"/>
      <c r="C7" s="414"/>
      <c r="D7" s="414"/>
      <c r="E7" s="414"/>
      <c r="F7" s="414"/>
      <c r="G7" s="414"/>
      <c r="H7" s="414"/>
      <c r="I7" s="70"/>
      <c r="K7" s="268"/>
      <c r="L7" s="269"/>
      <c r="M7" s="270"/>
      <c r="N7" s="270"/>
      <c r="O7" s="270"/>
      <c r="P7" s="270"/>
      <c r="Q7" s="270"/>
      <c r="R7" s="271"/>
      <c r="S7" s="72"/>
    </row>
    <row r="8" spans="2:19" s="69" customFormat="1" ht="36.6" thickBot="1" x14ac:dyDescent="0.4">
      <c r="B8" s="418"/>
      <c r="C8" s="70">
        <v>2025</v>
      </c>
      <c r="D8" s="70">
        <v>2026</v>
      </c>
      <c r="E8" s="70">
        <v>2027</v>
      </c>
      <c r="F8" s="70">
        <v>2028</v>
      </c>
      <c r="G8" s="70">
        <v>2029</v>
      </c>
      <c r="H8" s="94" t="s">
        <v>50</v>
      </c>
      <c r="I8" s="94" t="s">
        <v>51</v>
      </c>
      <c r="K8" s="268"/>
      <c r="L8" s="269"/>
      <c r="M8" s="270"/>
      <c r="N8" s="270"/>
      <c r="O8" s="270"/>
      <c r="P8" s="270"/>
      <c r="Q8" s="270"/>
      <c r="R8" s="271"/>
      <c r="S8" s="72"/>
    </row>
    <row r="9" spans="2:19" s="69" customFormat="1" ht="18" x14ac:dyDescent="0.35">
      <c r="B9" s="420" t="s">
        <v>624</v>
      </c>
      <c r="C9" s="421">
        <f>SUM(C10:C12)</f>
        <v>2106300</v>
      </c>
      <c r="D9" s="421">
        <f t="shared" ref="D9:H9" si="0">SUM(D10:D12)</f>
        <v>2180100</v>
      </c>
      <c r="E9" s="421">
        <f t="shared" si="0"/>
        <v>2256400</v>
      </c>
      <c r="F9" s="421">
        <f t="shared" si="0"/>
        <v>2335400</v>
      </c>
      <c r="G9" s="421">
        <f t="shared" si="0"/>
        <v>2401205</v>
      </c>
      <c r="H9" s="421">
        <f t="shared" si="0"/>
        <v>11279405</v>
      </c>
      <c r="I9" s="422"/>
      <c r="K9" s="268"/>
      <c r="L9" s="269"/>
      <c r="M9" s="270"/>
      <c r="N9" s="270"/>
      <c r="O9" s="270"/>
      <c r="P9" s="270"/>
      <c r="Q9" s="270"/>
      <c r="R9" s="271"/>
      <c r="S9" s="72"/>
    </row>
    <row r="10" spans="2:19" s="69" customFormat="1" ht="18" x14ac:dyDescent="0.35">
      <c r="B10" s="82" t="s">
        <v>55</v>
      </c>
      <c r="C10" s="410">
        <f>D77</f>
        <v>1577200</v>
      </c>
      <c r="D10" s="410">
        <f t="shared" ref="D10:G10" si="1">E77</f>
        <v>1632400</v>
      </c>
      <c r="E10" s="410">
        <f t="shared" si="1"/>
        <v>1689500</v>
      </c>
      <c r="F10" s="410">
        <f t="shared" si="1"/>
        <v>1748800</v>
      </c>
      <c r="G10" s="410">
        <f t="shared" si="1"/>
        <v>1795282.65</v>
      </c>
      <c r="H10" s="423">
        <f>SUM(C10:G10)</f>
        <v>8443182.6500000004</v>
      </c>
      <c r="I10" s="77">
        <f>H10/$H$9</f>
        <v>0.74854858478793873</v>
      </c>
      <c r="K10" s="272"/>
      <c r="L10" s="270"/>
      <c r="M10" s="270"/>
      <c r="N10" s="270"/>
      <c r="O10" s="270"/>
      <c r="P10" s="270"/>
      <c r="Q10" s="270"/>
      <c r="R10" s="271"/>
      <c r="S10" s="72"/>
    </row>
    <row r="11" spans="2:19" s="69" customFormat="1" ht="18" x14ac:dyDescent="0.35">
      <c r="B11" s="82" t="s">
        <v>56</v>
      </c>
      <c r="C11" s="410">
        <f>D53</f>
        <v>408600</v>
      </c>
      <c r="D11" s="410">
        <f t="shared" ref="D11:G11" si="2">E53</f>
        <v>422900</v>
      </c>
      <c r="E11" s="410">
        <f t="shared" si="2"/>
        <v>437800</v>
      </c>
      <c r="F11" s="410">
        <f t="shared" si="2"/>
        <v>453000</v>
      </c>
      <c r="G11" s="410">
        <f t="shared" si="2"/>
        <v>468800</v>
      </c>
      <c r="H11" s="423">
        <f t="shared" ref="H11:H12" si="3">SUM(C11:G11)</f>
        <v>2191100</v>
      </c>
      <c r="I11" s="77">
        <f>H11/$H$9</f>
        <v>0.19425670059723896</v>
      </c>
      <c r="K11" s="272"/>
      <c r="L11" s="270"/>
      <c r="M11" s="270"/>
      <c r="N11" s="270"/>
      <c r="O11" s="270"/>
      <c r="P11" s="270"/>
      <c r="Q11" s="270"/>
      <c r="R11" s="271"/>
      <c r="S11" s="72"/>
    </row>
    <row r="12" spans="2:19" s="69" customFormat="1" ht="18.600000000000001" thickBot="1" x14ac:dyDescent="0.4">
      <c r="B12" s="83" t="s">
        <v>88</v>
      </c>
      <c r="C12" s="411">
        <f>D102</f>
        <v>120500</v>
      </c>
      <c r="D12" s="411">
        <f t="shared" ref="D12:G12" si="4">E102</f>
        <v>124800</v>
      </c>
      <c r="E12" s="411">
        <f t="shared" si="4"/>
        <v>129100</v>
      </c>
      <c r="F12" s="411">
        <f t="shared" si="4"/>
        <v>133600</v>
      </c>
      <c r="G12" s="411">
        <f t="shared" si="4"/>
        <v>137122.35</v>
      </c>
      <c r="H12" s="423">
        <f t="shared" si="3"/>
        <v>645122.35</v>
      </c>
      <c r="I12" s="77">
        <f t="shared" ref="I12" si="5">H12/$H$9</f>
        <v>5.7194714614822326E-2</v>
      </c>
    </row>
    <row r="15" spans="2:19" ht="18.600000000000001" thickBot="1" x14ac:dyDescent="0.4">
      <c r="B15" s="109" t="s">
        <v>57</v>
      </c>
    </row>
    <row r="16" spans="2:19" ht="14.4" x14ac:dyDescent="0.3">
      <c r="B16" s="459" t="s">
        <v>58</v>
      </c>
      <c r="C16" s="459" t="s">
        <v>59</v>
      </c>
      <c r="D16" s="461" t="s">
        <v>60</v>
      </c>
      <c r="E16" s="461"/>
      <c r="F16" s="461"/>
      <c r="G16" s="461"/>
      <c r="H16" s="461"/>
      <c r="I16" s="461"/>
    </row>
    <row r="17" spans="2:13" ht="14.4" x14ac:dyDescent="0.3">
      <c r="B17" s="460"/>
      <c r="C17" s="460"/>
      <c r="D17" s="84">
        <v>2025</v>
      </c>
      <c r="E17" s="84">
        <v>2026</v>
      </c>
      <c r="F17" s="84">
        <v>2027</v>
      </c>
      <c r="G17" s="84">
        <v>2028</v>
      </c>
      <c r="H17" s="84">
        <v>2029</v>
      </c>
      <c r="I17" s="106" t="s">
        <v>52</v>
      </c>
    </row>
    <row r="18" spans="2:13" ht="15" thickBot="1" x14ac:dyDescent="0.35">
      <c r="B18" s="462"/>
      <c r="C18" s="462"/>
      <c r="D18" s="85">
        <v>2106300</v>
      </c>
      <c r="E18" s="85">
        <v>2180100</v>
      </c>
      <c r="F18" s="85">
        <v>2256400</v>
      </c>
      <c r="G18" s="85">
        <v>2335400</v>
      </c>
      <c r="H18" s="85">
        <v>2417100</v>
      </c>
      <c r="I18" s="85">
        <v>11295300</v>
      </c>
      <c r="M18" s="153"/>
    </row>
    <row r="19" spans="2:13" ht="15.6" x14ac:dyDescent="0.3">
      <c r="B19" s="107" t="s">
        <v>61</v>
      </c>
      <c r="C19" s="86">
        <v>0.29317503740493833</v>
      </c>
      <c r="D19" s="87">
        <v>617500</v>
      </c>
      <c r="E19" s="87">
        <v>639200</v>
      </c>
      <c r="F19" s="87">
        <v>661400</v>
      </c>
      <c r="G19" s="87">
        <v>684700</v>
      </c>
      <c r="H19" s="87">
        <v>708700</v>
      </c>
      <c r="I19" s="87">
        <v>3311500</v>
      </c>
    </row>
    <row r="20" spans="2:13" ht="15.6" x14ac:dyDescent="0.3">
      <c r="B20" s="88" t="s">
        <v>62</v>
      </c>
      <c r="C20" s="86">
        <v>0.21964002726797871</v>
      </c>
      <c r="D20" s="87">
        <v>462900</v>
      </c>
      <c r="E20" s="87">
        <v>479000</v>
      </c>
      <c r="F20" s="87">
        <v>495600</v>
      </c>
      <c r="G20" s="87">
        <v>512800</v>
      </c>
      <c r="H20" s="87">
        <v>530600</v>
      </c>
      <c r="I20" s="87">
        <v>2480900</v>
      </c>
      <c r="K20" s="153"/>
    </row>
    <row r="21" spans="2:13" ht="15.6" x14ac:dyDescent="0.3">
      <c r="B21" s="88" t="s">
        <v>79</v>
      </c>
      <c r="C21" s="86">
        <v>0.18686533336874631</v>
      </c>
      <c r="D21" s="87">
        <v>393100</v>
      </c>
      <c r="E21" s="87">
        <v>407100</v>
      </c>
      <c r="F21" s="87">
        <v>421700</v>
      </c>
      <c r="G21" s="87">
        <v>436600</v>
      </c>
      <c r="H21" s="87">
        <v>452200</v>
      </c>
      <c r="I21" s="87">
        <v>2110700</v>
      </c>
    </row>
    <row r="22" spans="2:13" ht="15.6" x14ac:dyDescent="0.3">
      <c r="B22" s="88" t="s">
        <v>64</v>
      </c>
      <c r="C22" s="86">
        <v>7.6890388037502325E-2</v>
      </c>
      <c r="D22" s="87">
        <v>162000</v>
      </c>
      <c r="E22" s="87">
        <v>167600</v>
      </c>
      <c r="F22" s="87">
        <v>173500</v>
      </c>
      <c r="G22" s="87">
        <v>179500</v>
      </c>
      <c r="H22" s="87">
        <v>185900</v>
      </c>
      <c r="I22" s="87">
        <v>868500</v>
      </c>
    </row>
    <row r="23" spans="2:13" ht="15.6" x14ac:dyDescent="0.3">
      <c r="B23" s="88" t="s">
        <v>65</v>
      </c>
      <c r="C23" s="86">
        <v>7.0020273919240747E-2</v>
      </c>
      <c r="D23" s="87">
        <v>147600</v>
      </c>
      <c r="E23" s="87">
        <v>152700</v>
      </c>
      <c r="F23" s="87">
        <v>158000</v>
      </c>
      <c r="G23" s="87">
        <v>163500</v>
      </c>
      <c r="H23" s="87">
        <v>169100</v>
      </c>
      <c r="I23" s="87">
        <v>790900</v>
      </c>
    </row>
    <row r="24" spans="2:13" ht="15.6" x14ac:dyDescent="0.3">
      <c r="B24" s="88" t="s">
        <v>66</v>
      </c>
      <c r="C24" s="86">
        <v>2.6205589935636948E-2</v>
      </c>
      <c r="D24" s="87">
        <v>55200</v>
      </c>
      <c r="E24" s="87">
        <v>57200</v>
      </c>
      <c r="F24" s="87">
        <v>59100</v>
      </c>
      <c r="G24" s="87">
        <v>61200</v>
      </c>
      <c r="H24" s="87">
        <v>63300</v>
      </c>
      <c r="I24" s="87">
        <v>296000</v>
      </c>
    </row>
    <row r="25" spans="2:13" ht="15.6" x14ac:dyDescent="0.3">
      <c r="B25" s="88" t="s">
        <v>67</v>
      </c>
      <c r="C25" s="86">
        <v>2.0548369675882888E-2</v>
      </c>
      <c r="D25" s="87">
        <v>43400</v>
      </c>
      <c r="E25" s="87">
        <v>44800</v>
      </c>
      <c r="F25" s="87">
        <v>46300</v>
      </c>
      <c r="G25" s="87">
        <v>48000</v>
      </c>
      <c r="H25" s="87">
        <v>49600</v>
      </c>
      <c r="I25" s="87">
        <v>232100</v>
      </c>
    </row>
    <row r="26" spans="2:13" ht="15.6" x14ac:dyDescent="0.3">
      <c r="B26" s="88" t="s">
        <v>68</v>
      </c>
      <c r="C26" s="86">
        <v>1.9193823979885439E-2</v>
      </c>
      <c r="D26" s="89">
        <v>40500</v>
      </c>
      <c r="E26" s="89">
        <v>41900</v>
      </c>
      <c r="F26" s="89">
        <v>43300</v>
      </c>
      <c r="G26" s="89">
        <v>44800</v>
      </c>
      <c r="H26" s="89">
        <v>46300</v>
      </c>
      <c r="I26" s="89">
        <v>216800</v>
      </c>
    </row>
    <row r="27" spans="2:13" ht="15.6" x14ac:dyDescent="0.3">
      <c r="B27" s="88" t="s">
        <v>69</v>
      </c>
      <c r="C27" s="86">
        <v>1.6971660779262172E-2</v>
      </c>
      <c r="D27" s="87">
        <v>35700</v>
      </c>
      <c r="E27" s="87">
        <v>37000</v>
      </c>
      <c r="F27" s="87">
        <v>38300</v>
      </c>
      <c r="G27" s="87">
        <v>39600</v>
      </c>
      <c r="H27" s="87">
        <v>41100</v>
      </c>
      <c r="I27" s="87">
        <v>191700</v>
      </c>
    </row>
    <row r="28" spans="2:13" ht="15.6" x14ac:dyDescent="0.3">
      <c r="B28" s="88" t="s">
        <v>70</v>
      </c>
      <c r="C28" s="86">
        <v>1.1606597434331093E-2</v>
      </c>
      <c r="D28" s="87">
        <v>24400</v>
      </c>
      <c r="E28" s="87">
        <v>25200</v>
      </c>
      <c r="F28" s="87">
        <v>26200</v>
      </c>
      <c r="G28" s="87">
        <v>27200</v>
      </c>
      <c r="H28" s="87">
        <v>28100</v>
      </c>
      <c r="I28" s="87">
        <v>131100</v>
      </c>
    </row>
    <row r="29" spans="2:13" ht="15.6" x14ac:dyDescent="0.3">
      <c r="B29" s="88" t="s">
        <v>71</v>
      </c>
      <c r="C29" s="86">
        <v>8.2246598142590287E-3</v>
      </c>
      <c r="D29" s="87">
        <v>17300</v>
      </c>
      <c r="E29" s="87">
        <v>18000</v>
      </c>
      <c r="F29" s="87">
        <v>18500</v>
      </c>
      <c r="G29" s="87">
        <v>19200</v>
      </c>
      <c r="H29" s="87">
        <v>19900</v>
      </c>
      <c r="I29" s="87">
        <v>92900</v>
      </c>
    </row>
    <row r="30" spans="2:13" ht="15.6" x14ac:dyDescent="0.3">
      <c r="B30" s="88" t="s">
        <v>72</v>
      </c>
      <c r="C30" s="86">
        <v>7.5783733057112248E-3</v>
      </c>
      <c r="D30" s="87">
        <v>15900</v>
      </c>
      <c r="E30" s="87">
        <v>16400</v>
      </c>
      <c r="F30" s="87">
        <v>17200</v>
      </c>
      <c r="G30" s="87">
        <v>17800</v>
      </c>
      <c r="H30" s="87">
        <v>18300</v>
      </c>
      <c r="I30" s="87">
        <v>85600</v>
      </c>
    </row>
    <row r="31" spans="2:13" ht="15.6" x14ac:dyDescent="0.3">
      <c r="B31" s="88" t="s">
        <v>73</v>
      </c>
      <c r="C31" s="86">
        <v>6.8258479190459751E-3</v>
      </c>
      <c r="D31" s="89">
        <v>14400</v>
      </c>
      <c r="E31" s="90">
        <v>14900</v>
      </c>
      <c r="F31" s="90">
        <v>15400</v>
      </c>
      <c r="G31" s="89">
        <v>15900</v>
      </c>
      <c r="H31" s="90">
        <v>16500</v>
      </c>
      <c r="I31" s="89">
        <v>77100</v>
      </c>
    </row>
    <row r="32" spans="2:13" ht="15.6" x14ac:dyDescent="0.3">
      <c r="B32" s="88" t="s">
        <v>74</v>
      </c>
      <c r="C32" s="86">
        <v>6.5956636831248396E-3</v>
      </c>
      <c r="D32" s="87">
        <v>13900</v>
      </c>
      <c r="E32" s="87">
        <v>14400</v>
      </c>
      <c r="F32" s="87">
        <v>14900</v>
      </c>
      <c r="G32" s="87">
        <v>15400</v>
      </c>
      <c r="H32" s="87">
        <v>15900</v>
      </c>
      <c r="I32" s="87">
        <v>74500</v>
      </c>
    </row>
    <row r="33" spans="2:11" ht="15.6" x14ac:dyDescent="0.3">
      <c r="B33" s="108" t="s">
        <v>75</v>
      </c>
      <c r="C33" s="86">
        <v>5.3207971457154748E-3</v>
      </c>
      <c r="D33" s="87">
        <v>11200</v>
      </c>
      <c r="E33" s="87">
        <v>11600</v>
      </c>
      <c r="F33" s="87">
        <v>12100</v>
      </c>
      <c r="G33" s="87">
        <v>12400</v>
      </c>
      <c r="H33" s="87">
        <v>12800</v>
      </c>
      <c r="I33" s="87">
        <v>60100</v>
      </c>
    </row>
    <row r="34" spans="2:11" ht="15.6" x14ac:dyDescent="0.3">
      <c r="B34" s="88" t="s">
        <v>76</v>
      </c>
      <c r="C34" s="86">
        <v>4.9666675519906512E-3</v>
      </c>
      <c r="D34" s="87">
        <v>10500</v>
      </c>
      <c r="E34" s="87">
        <v>10800</v>
      </c>
      <c r="F34" s="87">
        <v>11200</v>
      </c>
      <c r="G34" s="87">
        <v>11600</v>
      </c>
      <c r="H34" s="87">
        <v>12000</v>
      </c>
      <c r="I34" s="87">
        <v>56100</v>
      </c>
    </row>
    <row r="35" spans="2:11" ht="15.6" x14ac:dyDescent="0.3">
      <c r="B35" s="88" t="s">
        <v>77</v>
      </c>
      <c r="C35" s="86">
        <v>1.8591803670553238E-3</v>
      </c>
      <c r="D35" s="87">
        <v>3900</v>
      </c>
      <c r="E35" s="87">
        <v>4100</v>
      </c>
      <c r="F35" s="87">
        <v>4200</v>
      </c>
      <c r="G35" s="87">
        <v>4300</v>
      </c>
      <c r="H35" s="87">
        <v>4500</v>
      </c>
      <c r="I35" s="87">
        <v>21000</v>
      </c>
    </row>
    <row r="36" spans="2:11" ht="16.2" thickBot="1" x14ac:dyDescent="0.35">
      <c r="B36" s="88" t="s">
        <v>78</v>
      </c>
      <c r="C36" s="86">
        <v>7.4367214682212956E-4</v>
      </c>
      <c r="D36" s="89">
        <v>1600</v>
      </c>
      <c r="E36" s="89">
        <v>1600</v>
      </c>
      <c r="F36" s="89">
        <v>1700</v>
      </c>
      <c r="G36" s="89">
        <v>1700</v>
      </c>
      <c r="H36" s="89">
        <v>1800</v>
      </c>
      <c r="I36" s="89">
        <v>8400</v>
      </c>
    </row>
    <row r="37" spans="2:11" ht="16.2" thickBot="1" x14ac:dyDescent="0.35">
      <c r="B37" s="91" t="s">
        <v>616</v>
      </c>
      <c r="C37" s="92">
        <f>SUM(C19:C36)</f>
        <v>0.98323196373712951</v>
      </c>
      <c r="D37" s="105">
        <f t="shared" ref="D37:I37" si="6">SUM(D19:D36)</f>
        <v>2071000</v>
      </c>
      <c r="E37" s="105">
        <f t="shared" si="6"/>
        <v>2143500</v>
      </c>
      <c r="F37" s="105">
        <f t="shared" si="6"/>
        <v>2218600</v>
      </c>
      <c r="G37" s="105">
        <f t="shared" si="6"/>
        <v>2296200</v>
      </c>
      <c r="H37" s="105">
        <f t="shared" si="6"/>
        <v>2376600</v>
      </c>
      <c r="I37" s="105">
        <f t="shared" si="6"/>
        <v>11105900</v>
      </c>
    </row>
    <row r="38" spans="2:11" ht="16.2" thickBot="1" x14ac:dyDescent="0.35">
      <c r="B38" s="403" t="s">
        <v>622</v>
      </c>
      <c r="C38" s="404"/>
      <c r="D38" s="405">
        <v>35300</v>
      </c>
      <c r="E38" s="405">
        <v>36600</v>
      </c>
      <c r="F38" s="405">
        <v>37800</v>
      </c>
      <c r="G38" s="405">
        <v>39200</v>
      </c>
      <c r="H38" s="405">
        <v>24605</v>
      </c>
      <c r="I38" s="405">
        <v>173505</v>
      </c>
    </row>
    <row r="39" spans="2:11" ht="16.2" thickBot="1" x14ac:dyDescent="0.35">
      <c r="B39" s="406" t="s">
        <v>619</v>
      </c>
      <c r="C39" s="407"/>
      <c r="D39" s="408">
        <f>SUM(D37:D38)</f>
        <v>2106300</v>
      </c>
      <c r="E39" s="408">
        <f t="shared" ref="E39:I39" si="7">SUM(E37:E38)</f>
        <v>2180100</v>
      </c>
      <c r="F39" s="408">
        <f t="shared" si="7"/>
        <v>2256400</v>
      </c>
      <c r="G39" s="408">
        <f t="shared" si="7"/>
        <v>2335400</v>
      </c>
      <c r="H39" s="408">
        <f t="shared" si="7"/>
        <v>2401205</v>
      </c>
      <c r="I39" s="408">
        <f t="shared" si="7"/>
        <v>11279405</v>
      </c>
      <c r="K39" s="153"/>
    </row>
    <row r="40" spans="2:11" ht="16.2" thickBot="1" x14ac:dyDescent="0.35">
      <c r="B40" s="403" t="s">
        <v>617</v>
      </c>
      <c r="C40" s="404"/>
      <c r="D40" s="405">
        <v>2106300</v>
      </c>
      <c r="E40" s="405">
        <v>2180100</v>
      </c>
      <c r="F40" s="405">
        <v>2256400</v>
      </c>
      <c r="G40" s="405">
        <v>2335400</v>
      </c>
      <c r="H40" s="405">
        <v>2417100</v>
      </c>
      <c r="I40" s="405">
        <v>11295300</v>
      </c>
    </row>
    <row r="41" spans="2:11" ht="16.2" thickBot="1" x14ac:dyDescent="0.35">
      <c r="B41" s="91" t="s">
        <v>620</v>
      </c>
      <c r="C41" s="92"/>
      <c r="D41" s="93">
        <f>D39-D40</f>
        <v>0</v>
      </c>
      <c r="E41" s="93">
        <f t="shared" ref="E41:I41" si="8">E39-E40</f>
        <v>0</v>
      </c>
      <c r="F41" s="93">
        <f t="shared" si="8"/>
        <v>0</v>
      </c>
      <c r="G41" s="93">
        <f t="shared" si="8"/>
        <v>0</v>
      </c>
      <c r="H41" s="93">
        <f t="shared" si="8"/>
        <v>-15895</v>
      </c>
      <c r="I41" s="93">
        <f t="shared" si="8"/>
        <v>-15895</v>
      </c>
    </row>
    <row r="42" spans="2:11" ht="29.25" customHeight="1" x14ac:dyDescent="0.3">
      <c r="B42" s="458" t="s">
        <v>80</v>
      </c>
      <c r="C42" s="458"/>
      <c r="D42" s="458"/>
      <c r="E42" s="458"/>
      <c r="F42" s="458"/>
      <c r="G42" s="458"/>
      <c r="H42" s="458"/>
      <c r="I42" s="458"/>
    </row>
    <row r="43" spans="2:11" ht="105.75" customHeight="1" x14ac:dyDescent="0.3">
      <c r="B43" s="458" t="s">
        <v>623</v>
      </c>
      <c r="C43" s="458"/>
      <c r="D43" s="458"/>
      <c r="E43" s="458"/>
      <c r="F43" s="458"/>
      <c r="G43" s="458"/>
      <c r="H43" s="458"/>
      <c r="I43" s="458"/>
    </row>
    <row r="45" spans="2:11" ht="18.600000000000001" thickBot="1" x14ac:dyDescent="0.4">
      <c r="B45" s="109" t="s">
        <v>81</v>
      </c>
    </row>
    <row r="46" spans="2:11" ht="14.4" x14ac:dyDescent="0.3">
      <c r="B46" s="459" t="s">
        <v>58</v>
      </c>
      <c r="C46" s="459" t="s">
        <v>82</v>
      </c>
      <c r="D46" s="461" t="s">
        <v>60</v>
      </c>
      <c r="E46" s="461"/>
      <c r="F46" s="461"/>
      <c r="G46" s="461"/>
      <c r="H46" s="461"/>
      <c r="I46" s="461"/>
    </row>
    <row r="47" spans="2:11" ht="14.4" x14ac:dyDescent="0.3">
      <c r="B47" s="460"/>
      <c r="C47" s="460"/>
      <c r="D47" s="84">
        <v>2025</v>
      </c>
      <c r="E47" s="84">
        <v>2026</v>
      </c>
      <c r="F47" s="84">
        <v>2027</v>
      </c>
      <c r="G47" s="84">
        <v>2028</v>
      </c>
      <c r="H47" s="84">
        <v>2029</v>
      </c>
      <c r="I47" s="84" t="s">
        <v>52</v>
      </c>
    </row>
    <row r="48" spans="2:11" ht="14.4" x14ac:dyDescent="0.3">
      <c r="B48" s="96" t="s">
        <v>62</v>
      </c>
      <c r="C48" s="97">
        <v>0.34200000000000003</v>
      </c>
      <c r="D48" s="98">
        <v>144200</v>
      </c>
      <c r="E48" s="87">
        <v>149100</v>
      </c>
      <c r="F48" s="98">
        <v>154200</v>
      </c>
      <c r="G48" s="87">
        <v>159400</v>
      </c>
      <c r="H48" s="87">
        <v>164800</v>
      </c>
      <c r="I48" s="87">
        <v>771700</v>
      </c>
    </row>
    <row r="49" spans="2:9" ht="14.4" x14ac:dyDescent="0.3">
      <c r="B49" s="99" t="s">
        <v>79</v>
      </c>
      <c r="C49" s="100">
        <v>0.41139999999999999</v>
      </c>
      <c r="D49" s="89">
        <v>160400</v>
      </c>
      <c r="E49" s="89">
        <v>166200</v>
      </c>
      <c r="F49" s="89">
        <v>172400</v>
      </c>
      <c r="G49" s="89">
        <v>178600</v>
      </c>
      <c r="H49" s="89">
        <v>185100</v>
      </c>
      <c r="I49" s="89">
        <v>862700</v>
      </c>
    </row>
    <row r="50" spans="2:9" ht="14.4" x14ac:dyDescent="0.3">
      <c r="B50" s="99" t="s">
        <v>83</v>
      </c>
      <c r="C50" s="100">
        <v>0.1163</v>
      </c>
      <c r="D50" s="90">
        <v>49100</v>
      </c>
      <c r="E50" s="90">
        <v>50800</v>
      </c>
      <c r="F50" s="90">
        <v>52500</v>
      </c>
      <c r="G50" s="89">
        <v>54300</v>
      </c>
      <c r="H50" s="89">
        <v>56100</v>
      </c>
      <c r="I50" s="89">
        <v>262800</v>
      </c>
    </row>
    <row r="51" spans="2:9" ht="14.4" x14ac:dyDescent="0.3">
      <c r="B51" s="99" t="s">
        <v>68</v>
      </c>
      <c r="C51" s="100">
        <v>9.6199999999999994E-2</v>
      </c>
      <c r="D51" s="90">
        <v>40500</v>
      </c>
      <c r="E51" s="90">
        <v>41900</v>
      </c>
      <c r="F51" s="90">
        <v>43300</v>
      </c>
      <c r="G51" s="90">
        <v>44800</v>
      </c>
      <c r="H51" s="90">
        <v>46300</v>
      </c>
      <c r="I51" s="89">
        <v>216800</v>
      </c>
    </row>
    <row r="52" spans="2:9" ht="15" thickBot="1" x14ac:dyDescent="0.35">
      <c r="B52" s="101" t="s">
        <v>73</v>
      </c>
      <c r="C52" s="102">
        <v>3.4099999999999998E-2</v>
      </c>
      <c r="D52" s="103">
        <v>14400</v>
      </c>
      <c r="E52" s="103">
        <v>14900</v>
      </c>
      <c r="F52" s="104">
        <v>15400</v>
      </c>
      <c r="G52" s="103">
        <v>15900</v>
      </c>
      <c r="H52" s="103">
        <v>16500</v>
      </c>
      <c r="I52" s="104">
        <v>77100</v>
      </c>
    </row>
    <row r="53" spans="2:9" ht="16.2" thickBot="1" x14ac:dyDescent="0.35">
      <c r="B53" s="406" t="s">
        <v>621</v>
      </c>
      <c r="C53" s="407">
        <f>SUM(C48:C52)</f>
        <v>1</v>
      </c>
      <c r="D53" s="424">
        <v>408600</v>
      </c>
      <c r="E53" s="424">
        <v>422900</v>
      </c>
      <c r="F53" s="424">
        <v>437800</v>
      </c>
      <c r="G53" s="424">
        <v>453000</v>
      </c>
      <c r="H53" s="424">
        <v>468800</v>
      </c>
      <c r="I53" s="424">
        <v>2191100</v>
      </c>
    </row>
    <row r="54" spans="2:9" ht="16.5" customHeight="1" x14ac:dyDescent="0.3">
      <c r="B54" s="457" t="s">
        <v>80</v>
      </c>
      <c r="C54" s="457"/>
      <c r="D54" s="457"/>
      <c r="E54" s="457"/>
      <c r="F54" s="457"/>
      <c r="G54" s="457"/>
      <c r="H54" s="457"/>
      <c r="I54" s="457"/>
    </row>
    <row r="55" spans="2:9" x14ac:dyDescent="0.3">
      <c r="B55" s="458"/>
      <c r="C55" s="458"/>
      <c r="D55" s="458"/>
      <c r="E55" s="458"/>
      <c r="F55" s="458"/>
      <c r="G55" s="458"/>
      <c r="H55" s="458"/>
      <c r="I55" s="458"/>
    </row>
    <row r="58" spans="2:9" ht="18.600000000000001" thickBot="1" x14ac:dyDescent="0.4">
      <c r="B58" s="109" t="s">
        <v>84</v>
      </c>
    </row>
    <row r="59" spans="2:9" ht="14.4" x14ac:dyDescent="0.3">
      <c r="B59" s="459" t="s">
        <v>58</v>
      </c>
      <c r="C59" s="459" t="s">
        <v>82</v>
      </c>
      <c r="D59" s="461" t="s">
        <v>60</v>
      </c>
      <c r="E59" s="461"/>
      <c r="F59" s="461"/>
      <c r="G59" s="461"/>
      <c r="H59" s="461"/>
      <c r="I59" s="461"/>
    </row>
    <row r="60" spans="2:9" ht="15" thickBot="1" x14ac:dyDescent="0.35">
      <c r="B60" s="460"/>
      <c r="C60" s="460"/>
      <c r="D60" s="84">
        <v>2025</v>
      </c>
      <c r="E60" s="84">
        <v>2026</v>
      </c>
      <c r="F60" s="84">
        <v>2027</v>
      </c>
      <c r="G60" s="84">
        <v>2028</v>
      </c>
      <c r="H60" s="84">
        <v>2029</v>
      </c>
      <c r="I60" s="84" t="s">
        <v>52</v>
      </c>
    </row>
    <row r="61" spans="2:9" ht="15.6" x14ac:dyDescent="0.3">
      <c r="B61" s="107" t="s">
        <v>61</v>
      </c>
      <c r="C61" s="86">
        <v>0.36373978831427933</v>
      </c>
      <c r="D61" s="87">
        <v>573700</v>
      </c>
      <c r="E61" s="87">
        <v>593800</v>
      </c>
      <c r="F61" s="98">
        <v>614400</v>
      </c>
      <c r="G61" s="98">
        <v>636100</v>
      </c>
      <c r="H61" s="87">
        <v>658400</v>
      </c>
      <c r="I61" s="87">
        <v>3076400</v>
      </c>
    </row>
    <row r="62" spans="2:9" ht="15.6" x14ac:dyDescent="0.3">
      <c r="B62" s="88" t="s">
        <v>62</v>
      </c>
      <c r="C62" s="110">
        <v>0.20208977844640025</v>
      </c>
      <c r="D62" s="87">
        <v>318700</v>
      </c>
      <c r="E62" s="87">
        <v>329900</v>
      </c>
      <c r="F62" s="87">
        <v>341400</v>
      </c>
      <c r="G62" s="87">
        <v>353400</v>
      </c>
      <c r="H62" s="98">
        <v>365800</v>
      </c>
      <c r="I62" s="87">
        <v>1709200</v>
      </c>
    </row>
    <row r="63" spans="2:9" ht="15.6" x14ac:dyDescent="0.3">
      <c r="B63" s="88" t="s">
        <v>63</v>
      </c>
      <c r="C63" s="110">
        <v>0.13707189966547562</v>
      </c>
      <c r="D63" s="87">
        <v>216200</v>
      </c>
      <c r="E63" s="87">
        <v>223800</v>
      </c>
      <c r="F63" s="87">
        <v>231600</v>
      </c>
      <c r="G63" s="87">
        <v>239700</v>
      </c>
      <c r="H63" s="87">
        <v>248100</v>
      </c>
      <c r="I63" s="87">
        <v>1159400</v>
      </c>
    </row>
    <row r="64" spans="2:9" ht="15.6" x14ac:dyDescent="0.3">
      <c r="B64" s="88" t="s">
        <v>64</v>
      </c>
      <c r="C64" s="110">
        <v>9.5399999999999999E-2</v>
      </c>
      <c r="D64" s="87">
        <v>150500</v>
      </c>
      <c r="E64" s="87">
        <v>155700</v>
      </c>
      <c r="F64" s="87">
        <v>161200</v>
      </c>
      <c r="G64" s="87">
        <v>166800</v>
      </c>
      <c r="H64" s="87">
        <v>172700</v>
      </c>
      <c r="I64" s="87">
        <v>806900</v>
      </c>
    </row>
    <row r="65" spans="2:9" ht="15.6" x14ac:dyDescent="0.3">
      <c r="B65" s="88" t="s">
        <v>65</v>
      </c>
      <c r="C65" s="110">
        <v>5.8009999999999999E-2</v>
      </c>
      <c r="D65" s="87">
        <v>91500</v>
      </c>
      <c r="E65" s="87">
        <v>94700</v>
      </c>
      <c r="F65" s="87">
        <v>98000</v>
      </c>
      <c r="G65" s="87">
        <v>101400</v>
      </c>
      <c r="H65" s="87">
        <v>105000</v>
      </c>
      <c r="I65" s="87">
        <v>490600</v>
      </c>
    </row>
    <row r="66" spans="2:9" ht="15.6" x14ac:dyDescent="0.3">
      <c r="B66" s="88" t="s">
        <v>66</v>
      </c>
      <c r="C66" s="110">
        <v>3.2513692291648716E-2</v>
      </c>
      <c r="D66" s="98">
        <v>51300</v>
      </c>
      <c r="E66" s="98">
        <v>53100</v>
      </c>
      <c r="F66" s="87">
        <v>54900</v>
      </c>
      <c r="G66" s="98">
        <v>56900</v>
      </c>
      <c r="H66" s="98">
        <v>58800</v>
      </c>
      <c r="I66" s="87">
        <v>275000</v>
      </c>
    </row>
    <row r="67" spans="2:9" ht="15.6" x14ac:dyDescent="0.3">
      <c r="B67" s="88" t="s">
        <v>67</v>
      </c>
      <c r="C67" s="110">
        <v>2.5493492042779873E-2</v>
      </c>
      <c r="D67" s="87">
        <v>40200</v>
      </c>
      <c r="E67" s="87">
        <v>41600</v>
      </c>
      <c r="F67" s="87">
        <v>43100</v>
      </c>
      <c r="G67" s="87">
        <v>44600</v>
      </c>
      <c r="H67" s="87">
        <v>46100</v>
      </c>
      <c r="I67" s="87">
        <v>215600</v>
      </c>
    </row>
    <row r="68" spans="2:9" ht="15.6" x14ac:dyDescent="0.3">
      <c r="B68" s="88" t="s">
        <v>69</v>
      </c>
      <c r="C68" s="110">
        <v>2.1058388705454512E-2</v>
      </c>
      <c r="D68" s="98">
        <v>33200</v>
      </c>
      <c r="E68" s="87">
        <v>34400</v>
      </c>
      <c r="F68" s="87">
        <v>35600</v>
      </c>
      <c r="G68" s="87">
        <v>36800</v>
      </c>
      <c r="H68" s="87">
        <v>38100</v>
      </c>
      <c r="I68" s="87">
        <v>178100</v>
      </c>
    </row>
    <row r="69" spans="2:9" ht="15.6" x14ac:dyDescent="0.3">
      <c r="B69" s="88" t="s">
        <v>70</v>
      </c>
      <c r="C69" s="110">
        <v>1.4397104484027883E-2</v>
      </c>
      <c r="D69" s="98">
        <v>22700</v>
      </c>
      <c r="E69" s="98">
        <v>23400</v>
      </c>
      <c r="F69" s="87">
        <v>24300</v>
      </c>
      <c r="G69" s="98">
        <v>25300</v>
      </c>
      <c r="H69" s="98">
        <v>26100</v>
      </c>
      <c r="I69" s="87">
        <v>121800</v>
      </c>
    </row>
    <row r="70" spans="2:9" ht="15.6" x14ac:dyDescent="0.3">
      <c r="B70" s="88" t="s">
        <v>71</v>
      </c>
      <c r="C70" s="110">
        <v>1.0200000000000001E-2</v>
      </c>
      <c r="D70" s="98">
        <v>16100</v>
      </c>
      <c r="E70" s="98">
        <v>16700</v>
      </c>
      <c r="F70" s="98">
        <v>17200</v>
      </c>
      <c r="G70" s="87">
        <v>17800</v>
      </c>
      <c r="H70" s="87">
        <v>18500</v>
      </c>
      <c r="I70" s="87">
        <v>86300</v>
      </c>
    </row>
    <row r="71" spans="2:9" ht="15.6" x14ac:dyDescent="0.3">
      <c r="B71" s="88" t="s">
        <v>72</v>
      </c>
      <c r="C71" s="110">
        <v>9.4000000000000004E-3</v>
      </c>
      <c r="D71" s="98">
        <v>14800</v>
      </c>
      <c r="E71" s="98">
        <v>15200</v>
      </c>
      <c r="F71" s="87">
        <v>16000</v>
      </c>
      <c r="G71" s="98">
        <v>16500</v>
      </c>
      <c r="H71" s="87">
        <v>17000</v>
      </c>
      <c r="I71" s="87">
        <v>79500</v>
      </c>
    </row>
    <row r="72" spans="2:9" ht="15.6" x14ac:dyDescent="0.3">
      <c r="B72" s="88" t="s">
        <v>75</v>
      </c>
      <c r="C72" s="110">
        <v>6.6E-3</v>
      </c>
      <c r="D72" s="98">
        <v>10400</v>
      </c>
      <c r="E72" s="98">
        <v>10800</v>
      </c>
      <c r="F72" s="87">
        <v>11200</v>
      </c>
      <c r="G72" s="87">
        <v>11500</v>
      </c>
      <c r="H72" s="87">
        <v>11900</v>
      </c>
      <c r="I72" s="87">
        <v>55800</v>
      </c>
    </row>
    <row r="73" spans="2:9" ht="15.6" x14ac:dyDescent="0.3">
      <c r="B73" s="88" t="s">
        <v>77</v>
      </c>
      <c r="C73" s="110">
        <v>2.3E-3</v>
      </c>
      <c r="D73" s="98">
        <v>3600</v>
      </c>
      <c r="E73" s="98">
        <v>3800</v>
      </c>
      <c r="F73" s="87">
        <v>3900</v>
      </c>
      <c r="G73" s="87">
        <v>4000</v>
      </c>
      <c r="H73" s="87">
        <v>4200</v>
      </c>
      <c r="I73" s="87">
        <v>19500</v>
      </c>
    </row>
    <row r="74" spans="2:9" ht="16.2" thickBot="1" x14ac:dyDescent="0.35">
      <c r="B74" s="113" t="s">
        <v>78</v>
      </c>
      <c r="C74" s="111">
        <v>9.3656283121065667E-4</v>
      </c>
      <c r="D74" s="87">
        <v>1500</v>
      </c>
      <c r="E74" s="98">
        <v>1500</v>
      </c>
      <c r="F74" s="98">
        <v>1600</v>
      </c>
      <c r="G74" s="87">
        <v>1600</v>
      </c>
      <c r="H74" s="87">
        <v>1700</v>
      </c>
      <c r="I74" s="112">
        <v>7900</v>
      </c>
    </row>
    <row r="75" spans="2:9" ht="16.2" thickBot="1" x14ac:dyDescent="0.35">
      <c r="B75" s="91" t="s">
        <v>616</v>
      </c>
      <c r="C75" s="92">
        <f>SUM(C61:C74)</f>
        <v>0.97921070678127686</v>
      </c>
      <c r="D75" s="93">
        <f>SUM(D61:D74)</f>
        <v>1544400</v>
      </c>
      <c r="E75" s="93">
        <f t="shared" ref="E75:I75" si="9">SUM(E61:E74)</f>
        <v>1598400</v>
      </c>
      <c r="F75" s="93">
        <f t="shared" si="9"/>
        <v>1654400</v>
      </c>
      <c r="G75" s="93">
        <f t="shared" si="9"/>
        <v>1712400</v>
      </c>
      <c r="H75" s="93">
        <f t="shared" si="9"/>
        <v>1772400</v>
      </c>
      <c r="I75" s="93">
        <f t="shared" si="9"/>
        <v>8282000</v>
      </c>
    </row>
    <row r="76" spans="2:9" ht="16.2" thickBot="1" x14ac:dyDescent="0.35">
      <c r="B76" s="453" t="s">
        <v>618</v>
      </c>
      <c r="C76" s="454"/>
      <c r="D76" s="409">
        <v>32800</v>
      </c>
      <c r="E76" s="409">
        <v>34000</v>
      </c>
      <c r="F76" s="409">
        <v>35100</v>
      </c>
      <c r="G76" s="409">
        <v>36400</v>
      </c>
      <c r="H76" s="409">
        <f>H38-H101</f>
        <v>22882.65</v>
      </c>
      <c r="I76" s="409">
        <f>SUM(D76:H76)</f>
        <v>161182.65</v>
      </c>
    </row>
    <row r="77" spans="2:9" ht="16.2" thickBot="1" x14ac:dyDescent="0.35">
      <c r="B77" s="455" t="s">
        <v>619</v>
      </c>
      <c r="C77" s="456"/>
      <c r="D77" s="412">
        <f>SUM(D75:D76)</f>
        <v>1577200</v>
      </c>
      <c r="E77" s="412">
        <f t="shared" ref="E77:I77" si="10">SUM(E75:E76)</f>
        <v>1632400</v>
      </c>
      <c r="F77" s="412">
        <f t="shared" si="10"/>
        <v>1689500</v>
      </c>
      <c r="G77" s="412">
        <f t="shared" si="10"/>
        <v>1748800</v>
      </c>
      <c r="H77" s="412">
        <f t="shared" si="10"/>
        <v>1795282.65</v>
      </c>
      <c r="I77" s="412">
        <f t="shared" si="10"/>
        <v>8443182.6500000004</v>
      </c>
    </row>
    <row r="78" spans="2:9" ht="16.2" thickBot="1" x14ac:dyDescent="0.35">
      <c r="B78" s="453" t="s">
        <v>617</v>
      </c>
      <c r="C78" s="454"/>
      <c r="D78" s="93">
        <v>1577200</v>
      </c>
      <c r="E78" s="93">
        <v>1632400</v>
      </c>
      <c r="F78" s="93">
        <v>1689500</v>
      </c>
      <c r="G78" s="93">
        <v>1748800</v>
      </c>
      <c r="H78" s="93">
        <v>1810000</v>
      </c>
      <c r="I78" s="93">
        <v>8457900</v>
      </c>
    </row>
    <row r="79" spans="2:9" ht="16.2" thickBot="1" x14ac:dyDescent="0.35">
      <c r="B79" s="451" t="s">
        <v>620</v>
      </c>
      <c r="C79" s="452"/>
      <c r="D79" s="93">
        <f>D77-D78</f>
        <v>0</v>
      </c>
      <c r="E79" s="93">
        <f t="shared" ref="E79:I79" si="11">E77-E78</f>
        <v>0</v>
      </c>
      <c r="F79" s="93">
        <f t="shared" si="11"/>
        <v>0</v>
      </c>
      <c r="G79" s="93">
        <f t="shared" si="11"/>
        <v>0</v>
      </c>
      <c r="H79" s="93">
        <f t="shared" si="11"/>
        <v>-14717.350000000093</v>
      </c>
      <c r="I79" s="93">
        <f t="shared" si="11"/>
        <v>-14717.349999999627</v>
      </c>
    </row>
    <row r="82" spans="2:9" ht="18.600000000000001" thickBot="1" x14ac:dyDescent="0.4">
      <c r="B82" s="109" t="s">
        <v>85</v>
      </c>
    </row>
    <row r="83" spans="2:9" ht="14.4" x14ac:dyDescent="0.3">
      <c r="B83" s="459" t="s">
        <v>58</v>
      </c>
      <c r="C83" s="459" t="s">
        <v>82</v>
      </c>
      <c r="D83" s="461" t="s">
        <v>60</v>
      </c>
      <c r="E83" s="461"/>
      <c r="F83" s="461"/>
      <c r="G83" s="461"/>
      <c r="H83" s="461"/>
      <c r="I83" s="461"/>
    </row>
    <row r="84" spans="2:9" ht="15" thickBot="1" x14ac:dyDescent="0.35">
      <c r="B84" s="460"/>
      <c r="C84" s="460"/>
      <c r="D84" s="84">
        <v>2025</v>
      </c>
      <c r="E84" s="84">
        <v>2026</v>
      </c>
      <c r="F84" s="84">
        <v>2027</v>
      </c>
      <c r="G84" s="84">
        <v>2028</v>
      </c>
      <c r="H84" s="84">
        <v>2029</v>
      </c>
      <c r="I84" s="84" t="s">
        <v>52</v>
      </c>
    </row>
    <row r="85" spans="2:9" ht="15.6" x14ac:dyDescent="0.3">
      <c r="B85" s="107" t="s">
        <v>61</v>
      </c>
      <c r="C85" s="114">
        <v>0.36373978831427933</v>
      </c>
      <c r="D85" s="87">
        <v>43800</v>
      </c>
      <c r="E85" s="98">
        <v>45400</v>
      </c>
      <c r="F85" s="98">
        <v>47000</v>
      </c>
      <c r="G85" s="87">
        <v>48600</v>
      </c>
      <c r="H85" s="98">
        <v>50300</v>
      </c>
      <c r="I85" s="87">
        <v>235100</v>
      </c>
    </row>
    <row r="86" spans="2:9" ht="15.6" x14ac:dyDescent="0.3">
      <c r="B86" s="88" t="s">
        <v>74</v>
      </c>
      <c r="C86" s="115">
        <f>20.21%*0.57</f>
        <v>0.11519699999999999</v>
      </c>
      <c r="D86" s="87">
        <v>13900</v>
      </c>
      <c r="E86" s="98">
        <v>14400</v>
      </c>
      <c r="F86" s="87">
        <v>14900</v>
      </c>
      <c r="G86" s="98">
        <v>15400</v>
      </c>
      <c r="H86" s="98">
        <v>15900</v>
      </c>
      <c r="I86" s="87">
        <v>74500</v>
      </c>
    </row>
    <row r="87" spans="2:9" ht="15.6" x14ac:dyDescent="0.3">
      <c r="B87" s="88" t="s">
        <v>86</v>
      </c>
      <c r="C87" s="115">
        <f>20.21%*0.43</f>
        <v>8.6902999999999994E-2</v>
      </c>
      <c r="D87" s="87">
        <v>10500</v>
      </c>
      <c r="E87" s="98">
        <v>10800</v>
      </c>
      <c r="F87" s="98">
        <v>11200</v>
      </c>
      <c r="G87" s="98">
        <v>11600</v>
      </c>
      <c r="H87" s="87">
        <v>12000</v>
      </c>
      <c r="I87" s="87">
        <v>56100</v>
      </c>
    </row>
    <row r="88" spans="2:9" ht="15.6" x14ac:dyDescent="0.3">
      <c r="B88" s="88" t="s">
        <v>63</v>
      </c>
      <c r="C88" s="116">
        <v>0.13707189966547562</v>
      </c>
      <c r="D88" s="87">
        <v>16500</v>
      </c>
      <c r="E88" s="87">
        <v>17100</v>
      </c>
      <c r="F88" s="98">
        <v>17700</v>
      </c>
      <c r="G88" s="87">
        <v>18300</v>
      </c>
      <c r="H88" s="87">
        <v>19000</v>
      </c>
      <c r="I88" s="87">
        <v>88600</v>
      </c>
    </row>
    <row r="89" spans="2:9" ht="15.6" x14ac:dyDescent="0.3">
      <c r="B89" s="88" t="s">
        <v>64</v>
      </c>
      <c r="C89" s="116">
        <v>9.5399999999999999E-2</v>
      </c>
      <c r="D89" s="87">
        <v>11500</v>
      </c>
      <c r="E89" s="87">
        <v>11900</v>
      </c>
      <c r="F89" s="87">
        <v>12300</v>
      </c>
      <c r="G89" s="87">
        <v>12700</v>
      </c>
      <c r="H89" s="87">
        <v>13200</v>
      </c>
      <c r="I89" s="87">
        <v>61600</v>
      </c>
    </row>
    <row r="90" spans="2:9" ht="15.6" x14ac:dyDescent="0.3">
      <c r="B90" s="88" t="s">
        <v>65</v>
      </c>
      <c r="C90" s="116">
        <v>5.8009999999999999E-2</v>
      </c>
      <c r="D90" s="87">
        <v>7000</v>
      </c>
      <c r="E90" s="98">
        <v>7200</v>
      </c>
      <c r="F90" s="98">
        <v>7500</v>
      </c>
      <c r="G90" s="98">
        <v>7800</v>
      </c>
      <c r="H90" s="87">
        <v>8000</v>
      </c>
      <c r="I90" s="87">
        <v>37500</v>
      </c>
    </row>
    <row r="91" spans="2:9" ht="15.6" x14ac:dyDescent="0.3">
      <c r="B91" s="88" t="s">
        <v>66</v>
      </c>
      <c r="C91" s="116">
        <v>3.2513692291648716E-2</v>
      </c>
      <c r="D91" s="87">
        <v>3900</v>
      </c>
      <c r="E91" s="98">
        <v>4100</v>
      </c>
      <c r="F91" s="98">
        <v>4200</v>
      </c>
      <c r="G91" s="98">
        <v>4300</v>
      </c>
      <c r="H91" s="87">
        <v>4500</v>
      </c>
      <c r="I91" s="87">
        <v>21000</v>
      </c>
    </row>
    <row r="92" spans="2:9" ht="15.6" x14ac:dyDescent="0.3">
      <c r="B92" s="88" t="s">
        <v>67</v>
      </c>
      <c r="C92" s="116">
        <v>2.5493492042779873E-2</v>
      </c>
      <c r="D92" s="98">
        <v>3200</v>
      </c>
      <c r="E92" s="98">
        <v>3200</v>
      </c>
      <c r="F92" s="98">
        <v>3200</v>
      </c>
      <c r="G92" s="98">
        <v>3400</v>
      </c>
      <c r="H92" s="98">
        <v>3500</v>
      </c>
      <c r="I92" s="87">
        <v>16500</v>
      </c>
    </row>
    <row r="93" spans="2:9" ht="15.6" x14ac:dyDescent="0.3">
      <c r="B93" s="88" t="s">
        <v>69</v>
      </c>
      <c r="C93" s="116">
        <v>2.1058388705454512E-2</v>
      </c>
      <c r="D93" s="87">
        <v>2500</v>
      </c>
      <c r="E93" s="98">
        <v>2600</v>
      </c>
      <c r="F93" s="98">
        <v>2700</v>
      </c>
      <c r="G93" s="98">
        <v>2800</v>
      </c>
      <c r="H93" s="87">
        <v>3000</v>
      </c>
      <c r="I93" s="87">
        <v>13600</v>
      </c>
    </row>
    <row r="94" spans="2:9" ht="15.6" x14ac:dyDescent="0.3">
      <c r="B94" s="88" t="s">
        <v>70</v>
      </c>
      <c r="C94" s="116">
        <v>1.4397104484027883E-2</v>
      </c>
      <c r="D94" s="87">
        <v>1700</v>
      </c>
      <c r="E94" s="98">
        <v>1800</v>
      </c>
      <c r="F94" s="98">
        <v>1900</v>
      </c>
      <c r="G94" s="98">
        <v>1900</v>
      </c>
      <c r="H94" s="87">
        <v>2000</v>
      </c>
      <c r="I94" s="87">
        <v>9300</v>
      </c>
    </row>
    <row r="95" spans="2:9" ht="15.6" x14ac:dyDescent="0.3">
      <c r="B95" s="88" t="s">
        <v>71</v>
      </c>
      <c r="C95" s="116">
        <v>1.0212571961633931E-2</v>
      </c>
      <c r="D95" s="87">
        <v>1200</v>
      </c>
      <c r="E95" s="98">
        <v>1300</v>
      </c>
      <c r="F95" s="98">
        <v>1300</v>
      </c>
      <c r="G95" s="87">
        <v>1400</v>
      </c>
      <c r="H95" s="87">
        <v>1400</v>
      </c>
      <c r="I95" s="87">
        <v>6600</v>
      </c>
    </row>
    <row r="96" spans="2:9" ht="15.6" x14ac:dyDescent="0.3">
      <c r="B96" s="88" t="s">
        <v>72</v>
      </c>
      <c r="C96" s="116">
        <v>9.4438545354829772E-3</v>
      </c>
      <c r="D96" s="87">
        <v>1100</v>
      </c>
      <c r="E96" s="98">
        <v>1200</v>
      </c>
      <c r="F96" s="98">
        <v>1200</v>
      </c>
      <c r="G96" s="98">
        <v>1300</v>
      </c>
      <c r="H96" s="87">
        <v>1300</v>
      </c>
      <c r="I96" s="87">
        <v>6100</v>
      </c>
    </row>
    <row r="97" spans="2:9" ht="15.6" x14ac:dyDescent="0.3">
      <c r="B97" s="88" t="s">
        <v>75</v>
      </c>
      <c r="C97" s="116">
        <v>6.5842248517936153E-3</v>
      </c>
      <c r="D97" s="87">
        <v>800</v>
      </c>
      <c r="E97" s="98">
        <v>800</v>
      </c>
      <c r="F97" s="98">
        <v>900</v>
      </c>
      <c r="G97" s="98">
        <v>900</v>
      </c>
      <c r="H97" s="87">
        <v>900</v>
      </c>
      <c r="I97" s="87">
        <v>4300</v>
      </c>
    </row>
    <row r="98" spans="2:9" ht="15.6" x14ac:dyDescent="0.3">
      <c r="B98" s="88" t="s">
        <v>77</v>
      </c>
      <c r="C98" s="116">
        <v>2.2866833419664563E-3</v>
      </c>
      <c r="D98" s="87">
        <v>300</v>
      </c>
      <c r="E98" s="87">
        <v>300</v>
      </c>
      <c r="F98" s="87">
        <v>300</v>
      </c>
      <c r="G98" s="87">
        <v>300</v>
      </c>
      <c r="H98" s="87">
        <v>300</v>
      </c>
      <c r="I98" s="87">
        <v>1500</v>
      </c>
    </row>
    <row r="99" spans="2:9" ht="16.2" thickBot="1" x14ac:dyDescent="0.35">
      <c r="B99" s="113" t="s">
        <v>78</v>
      </c>
      <c r="C99" s="117">
        <v>9.3656283121065667E-4</v>
      </c>
      <c r="D99" s="87">
        <v>100</v>
      </c>
      <c r="E99" s="98">
        <v>100</v>
      </c>
      <c r="F99" s="87">
        <v>100</v>
      </c>
      <c r="G99" s="87">
        <v>100</v>
      </c>
      <c r="H99" s="87">
        <v>100</v>
      </c>
      <c r="I99" s="87">
        <v>500</v>
      </c>
    </row>
    <row r="100" spans="2:9" ht="16.2" thickBot="1" x14ac:dyDescent="0.35">
      <c r="B100" s="413" t="s">
        <v>616</v>
      </c>
      <c r="C100" s="92">
        <f>SUM(C85:C99)</f>
        <v>0.97924826302575363</v>
      </c>
      <c r="D100" s="93">
        <f>SUM(D85:D99)</f>
        <v>118000</v>
      </c>
      <c r="E100" s="93">
        <f t="shared" ref="E100:I100" si="12">SUM(E85:E99)</f>
        <v>122200</v>
      </c>
      <c r="F100" s="93">
        <f t="shared" si="12"/>
        <v>126400</v>
      </c>
      <c r="G100" s="93">
        <f t="shared" si="12"/>
        <v>130800</v>
      </c>
      <c r="H100" s="93">
        <f t="shared" si="12"/>
        <v>135400</v>
      </c>
      <c r="I100" s="93">
        <f t="shared" si="12"/>
        <v>632800</v>
      </c>
    </row>
    <row r="101" spans="2:9" ht="16.2" thickBot="1" x14ac:dyDescent="0.35">
      <c r="B101" s="453" t="s">
        <v>618</v>
      </c>
      <c r="C101" s="454"/>
      <c r="D101" s="405">
        <v>2500</v>
      </c>
      <c r="E101" s="405">
        <v>2600</v>
      </c>
      <c r="F101" s="405">
        <v>2700</v>
      </c>
      <c r="G101" s="405">
        <v>2800</v>
      </c>
      <c r="H101" s="405">
        <f>H38*0.07</f>
        <v>1722.3500000000001</v>
      </c>
      <c r="I101" s="405">
        <f>SUM(D101:H101)</f>
        <v>12322.35</v>
      </c>
    </row>
    <row r="102" spans="2:9" ht="16.2" thickBot="1" x14ac:dyDescent="0.35">
      <c r="B102" s="455" t="s">
        <v>619</v>
      </c>
      <c r="C102" s="456"/>
      <c r="D102" s="408">
        <f>SUM(D100:D101)</f>
        <v>120500</v>
      </c>
      <c r="E102" s="408">
        <f t="shared" ref="E102:I102" si="13">SUM(E100:E101)</f>
        <v>124800</v>
      </c>
      <c r="F102" s="408">
        <f t="shared" si="13"/>
        <v>129100</v>
      </c>
      <c r="G102" s="408">
        <f t="shared" si="13"/>
        <v>133600</v>
      </c>
      <c r="H102" s="408">
        <f t="shared" si="13"/>
        <v>137122.35</v>
      </c>
      <c r="I102" s="408">
        <f t="shared" si="13"/>
        <v>645122.35</v>
      </c>
    </row>
    <row r="103" spans="2:9" ht="16.2" thickBot="1" x14ac:dyDescent="0.35">
      <c r="B103" s="453" t="s">
        <v>617</v>
      </c>
      <c r="C103" s="454"/>
      <c r="D103" s="405">
        <v>120500</v>
      </c>
      <c r="E103" s="405">
        <v>124800</v>
      </c>
      <c r="F103" s="405">
        <v>129100</v>
      </c>
      <c r="G103" s="405">
        <v>133600</v>
      </c>
      <c r="H103" s="405">
        <v>138300</v>
      </c>
      <c r="I103" s="405">
        <v>646300</v>
      </c>
    </row>
    <row r="104" spans="2:9" ht="16.2" thickBot="1" x14ac:dyDescent="0.35">
      <c r="B104" s="451" t="s">
        <v>620</v>
      </c>
      <c r="C104" s="452"/>
      <c r="D104" s="93">
        <f>D102-D103</f>
        <v>0</v>
      </c>
      <c r="E104" s="93">
        <f t="shared" ref="E104:I104" si="14">E102-E103</f>
        <v>0</v>
      </c>
      <c r="F104" s="93">
        <f t="shared" si="14"/>
        <v>0</v>
      </c>
      <c r="G104" s="93">
        <f t="shared" si="14"/>
        <v>0</v>
      </c>
      <c r="H104" s="93">
        <f t="shared" si="14"/>
        <v>-1177.6499999999942</v>
      </c>
      <c r="I104" s="93">
        <f t="shared" si="14"/>
        <v>-1177.6500000000233</v>
      </c>
    </row>
  </sheetData>
  <mergeCells count="23">
    <mergeCell ref="B16:B18"/>
    <mergeCell ref="C16:C18"/>
    <mergeCell ref="D16:I16"/>
    <mergeCell ref="B42:I42"/>
    <mergeCell ref="B46:B47"/>
    <mergeCell ref="C46:C47"/>
    <mergeCell ref="D46:I46"/>
    <mergeCell ref="B54:I55"/>
    <mergeCell ref="B43:I43"/>
    <mergeCell ref="B101:C101"/>
    <mergeCell ref="B102:C102"/>
    <mergeCell ref="B103:C103"/>
    <mergeCell ref="B59:B60"/>
    <mergeCell ref="C59:C60"/>
    <mergeCell ref="D59:I59"/>
    <mergeCell ref="B83:B84"/>
    <mergeCell ref="C83:C84"/>
    <mergeCell ref="D83:I83"/>
    <mergeCell ref="B104:C104"/>
    <mergeCell ref="B76:C76"/>
    <mergeCell ref="B77:C77"/>
    <mergeCell ref="B78:C78"/>
    <mergeCell ref="B79:C79"/>
  </mergeCells>
  <conditionalFormatting sqref="D18:I18">
    <cfRule type="cellIs" dxfId="11" priority="56" operator="equal">
      <formula>$C$11</formula>
    </cfRule>
  </conditionalFormatting>
  <conditionalFormatting sqref="D53:I53">
    <cfRule type="cellIs" dxfId="10" priority="33" operator="equal">
      <formula>#REF!</formula>
    </cfRule>
  </conditionalFormatting>
  <conditionalFormatting sqref="D100:I104">
    <cfRule type="cellIs" dxfId="9" priority="1" operator="equal">
      <formula>#REF!</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D019E-4702-4591-A849-47A1430DC7EA}">
  <sheetPr codeName="Sheet6"/>
  <dimension ref="B1:F24"/>
  <sheetViews>
    <sheetView topLeftCell="A16" workbookViewId="0">
      <selection activeCell="A23" sqref="A23"/>
    </sheetView>
  </sheetViews>
  <sheetFormatPr defaultColWidth="9.109375" defaultRowHeight="15.6" x14ac:dyDescent="0.3"/>
  <cols>
    <col min="1" max="1" width="9.109375" style="392"/>
    <col min="2" max="2" width="42.5546875" style="392" customWidth="1"/>
    <col min="3" max="3" width="14" style="392" bestFit="1" customWidth="1"/>
    <col min="4" max="5" width="15.44140625" style="392" customWidth="1"/>
    <col min="6" max="16384" width="9.109375" style="392"/>
  </cols>
  <sheetData>
    <row r="1" spans="2:6" x14ac:dyDescent="0.3">
      <c r="B1" s="391" t="s">
        <v>23</v>
      </c>
    </row>
    <row r="2" spans="2:6" x14ac:dyDescent="0.3">
      <c r="B2" s="393" t="str">
        <f>'Table of Contents'!B2</f>
        <v>Final 2026 RTF Work Plan - October 7, 2025</v>
      </c>
    </row>
    <row r="4" spans="2:6" ht="18" x14ac:dyDescent="0.35">
      <c r="B4" s="390" t="s">
        <v>580</v>
      </c>
    </row>
    <row r="5" spans="2:6" ht="46.8" x14ac:dyDescent="0.3">
      <c r="B5" s="394"/>
      <c r="C5" s="395" t="s">
        <v>52</v>
      </c>
      <c r="D5" s="395" t="s">
        <v>581</v>
      </c>
      <c r="E5" s="395" t="s">
        <v>582</v>
      </c>
    </row>
    <row r="6" spans="2:6" x14ac:dyDescent="0.3">
      <c r="B6" s="394" t="s">
        <v>583</v>
      </c>
      <c r="C6" s="396">
        <f>C16*0.75</f>
        <v>92250</v>
      </c>
      <c r="D6" s="396">
        <f>SUMIF(D22:D42,"E",C22:C42)+0.75*SUMIF(D22:D42,"D",C22:C42)</f>
        <v>92250</v>
      </c>
      <c r="E6" s="396">
        <f>C6-D6</f>
        <v>0</v>
      </c>
    </row>
    <row r="7" spans="2:6" x14ac:dyDescent="0.3">
      <c r="B7" s="394" t="s">
        <v>584</v>
      </c>
      <c r="C7" s="396">
        <f>0</f>
        <v>0</v>
      </c>
      <c r="D7" s="396">
        <f>SUMIF(D22:D42,"DR",C22:C42)</f>
        <v>0</v>
      </c>
      <c r="E7" s="396">
        <f t="shared" ref="E7:E8" si="0">C7-D7</f>
        <v>0</v>
      </c>
    </row>
    <row r="8" spans="2:6" x14ac:dyDescent="0.3">
      <c r="B8" s="394" t="s">
        <v>585</v>
      </c>
      <c r="C8" s="396">
        <f>C16*0.25</f>
        <v>30750</v>
      </c>
      <c r="D8" s="396">
        <f>SUMIF(D22:D42,"G",C22:C42)+0.25*SUMIF(D22:D42,"D",C22:C42)</f>
        <v>30750</v>
      </c>
      <c r="E8" s="396">
        <f t="shared" si="0"/>
        <v>0</v>
      </c>
    </row>
    <row r="9" spans="2:6" x14ac:dyDescent="0.3">
      <c r="E9" s="402">
        <f>SUM(E6:E8)</f>
        <v>0</v>
      </c>
    </row>
    <row r="11" spans="2:6" x14ac:dyDescent="0.3">
      <c r="B11" s="398" t="s">
        <v>586</v>
      </c>
      <c r="C11" s="397"/>
      <c r="D11" s="397"/>
      <c r="E11" s="397"/>
      <c r="F11" s="397"/>
    </row>
    <row r="12" spans="2:6" x14ac:dyDescent="0.3">
      <c r="B12" s="392" t="s">
        <v>587</v>
      </c>
      <c r="C12" s="392" t="s">
        <v>588</v>
      </c>
      <c r="D12" s="392" t="s">
        <v>2</v>
      </c>
    </row>
    <row r="13" spans="2:6" x14ac:dyDescent="0.3">
      <c r="B13" s="392" t="s">
        <v>589</v>
      </c>
      <c r="C13" s="401">
        <v>0</v>
      </c>
      <c r="D13" s="401" t="s">
        <v>597</v>
      </c>
    </row>
    <row r="14" spans="2:6" x14ac:dyDescent="0.3">
      <c r="B14" s="392" t="s">
        <v>590</v>
      </c>
      <c r="C14" s="401">
        <v>51400</v>
      </c>
      <c r="D14" s="401" t="s">
        <v>598</v>
      </c>
    </row>
    <row r="15" spans="2:6" x14ac:dyDescent="0.3">
      <c r="B15" s="392" t="s">
        <v>591</v>
      </c>
      <c r="C15" s="401">
        <v>71600</v>
      </c>
      <c r="D15" s="401" t="s">
        <v>599</v>
      </c>
    </row>
    <row r="16" spans="2:6" x14ac:dyDescent="0.3">
      <c r="B16" s="392" t="s">
        <v>592</v>
      </c>
      <c r="C16" s="401">
        <f>SUM(C13:C15)</f>
        <v>123000</v>
      </c>
      <c r="D16" s="401"/>
    </row>
    <row r="18" spans="2:6" x14ac:dyDescent="0.3">
      <c r="C18" s="402"/>
    </row>
    <row r="20" spans="2:6" x14ac:dyDescent="0.3">
      <c r="B20" s="399" t="s">
        <v>593</v>
      </c>
      <c r="C20" s="400"/>
      <c r="D20" s="400"/>
      <c r="E20" s="400"/>
      <c r="F20" s="400"/>
    </row>
    <row r="21" spans="2:6" x14ac:dyDescent="0.3">
      <c r="B21" s="392" t="s">
        <v>594</v>
      </c>
      <c r="C21" s="392" t="s">
        <v>588</v>
      </c>
      <c r="D21" s="392" t="s">
        <v>600</v>
      </c>
      <c r="E21" s="392" t="s">
        <v>595</v>
      </c>
      <c r="F21" s="392" t="s">
        <v>3</v>
      </c>
    </row>
    <row r="22" spans="2:6" x14ac:dyDescent="0.3">
      <c r="B22" s="392" t="s">
        <v>601</v>
      </c>
      <c r="C22" s="401">
        <v>27250</v>
      </c>
      <c r="D22" s="392" t="s">
        <v>596</v>
      </c>
      <c r="F22" s="392" t="s">
        <v>11</v>
      </c>
    </row>
    <row r="23" spans="2:6" x14ac:dyDescent="0.3">
      <c r="B23" s="392" t="s">
        <v>604</v>
      </c>
      <c r="C23" s="401">
        <v>25000</v>
      </c>
      <c r="D23" s="392" t="s">
        <v>596</v>
      </c>
      <c r="F23" s="392" t="s">
        <v>41</v>
      </c>
    </row>
    <row r="24" spans="2:6" x14ac:dyDescent="0.3">
      <c r="B24" s="392" t="s">
        <v>105</v>
      </c>
      <c r="C24" s="401">
        <v>70750</v>
      </c>
      <c r="D24" s="392" t="s">
        <v>596</v>
      </c>
      <c r="F24" s="392" t="s">
        <v>12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A998B4-10DF-4391-901F-4DDEBF5F2828}">
  <sheetPr codeName="Sheet7"/>
  <dimension ref="B1:T33"/>
  <sheetViews>
    <sheetView workbookViewId="0">
      <selection activeCell="G23" sqref="G23"/>
    </sheetView>
  </sheetViews>
  <sheetFormatPr defaultColWidth="9.109375" defaultRowHeight="13.8" x14ac:dyDescent="0.3"/>
  <cols>
    <col min="1" max="1" width="9.109375" style="95"/>
    <col min="2" max="2" width="38.6640625" style="95" customWidth="1"/>
    <col min="3" max="7" width="15.109375" style="95" bestFit="1" customWidth="1"/>
    <col min="8" max="8" width="16.33203125" style="95" customWidth="1"/>
    <col min="9" max="9" width="16.88671875" style="95" customWidth="1"/>
    <col min="10" max="10" width="14.109375" style="95" customWidth="1"/>
    <col min="11" max="14" width="14.109375" style="273" customWidth="1"/>
    <col min="15" max="15" width="8.109375" style="273" bestFit="1" customWidth="1"/>
    <col min="16" max="16" width="9.109375" style="273"/>
    <col min="17" max="20" width="14.6640625" style="273" customWidth="1"/>
    <col min="21" max="21" width="14.6640625" style="95" customWidth="1"/>
    <col min="22" max="22" width="8.109375" style="95" bestFit="1" customWidth="1"/>
    <col min="23" max="16384" width="9.109375" style="95"/>
  </cols>
  <sheetData>
    <row r="1" spans="2:20" ht="18" x14ac:dyDescent="0.35">
      <c r="B1" s="1" t="s">
        <v>49</v>
      </c>
    </row>
    <row r="2" spans="2:20" ht="14.4" x14ac:dyDescent="0.3">
      <c r="B2" s="3" t="str">
        <f>'Table of Contents'!B2</f>
        <v>Final 2026 RTF Work Plan - October 7, 2025</v>
      </c>
    </row>
    <row r="4" spans="2:20" s="69" customFormat="1" ht="36.6" thickBot="1" x14ac:dyDescent="0.4">
      <c r="B4" s="429" t="s">
        <v>630</v>
      </c>
      <c r="C4" s="430">
        <v>2025</v>
      </c>
      <c r="D4" s="430">
        <v>2026</v>
      </c>
      <c r="E4" s="430">
        <v>2027</v>
      </c>
      <c r="F4" s="430">
        <v>2028</v>
      </c>
      <c r="G4" s="430">
        <v>2029</v>
      </c>
      <c r="H4" s="431" t="s">
        <v>50</v>
      </c>
      <c r="I4" s="431" t="s">
        <v>51</v>
      </c>
      <c r="K4" s="272"/>
      <c r="L4" s="272"/>
      <c r="M4" s="272"/>
      <c r="N4" s="272"/>
      <c r="O4" s="272"/>
      <c r="P4" s="272"/>
      <c r="Q4" s="272"/>
      <c r="R4" s="272"/>
      <c r="S4" s="272"/>
      <c r="T4" s="274"/>
    </row>
    <row r="5" spans="2:20" s="69" customFormat="1" ht="18" x14ac:dyDescent="0.35">
      <c r="B5" s="81" t="s">
        <v>53</v>
      </c>
      <c r="C5" s="73">
        <v>2106300</v>
      </c>
      <c r="D5" s="73">
        <v>2180100</v>
      </c>
      <c r="E5" s="73">
        <v>2256400</v>
      </c>
      <c r="F5" s="73">
        <v>2335400</v>
      </c>
      <c r="G5" s="73">
        <v>2417100</v>
      </c>
      <c r="H5" s="73">
        <v>11295300</v>
      </c>
      <c r="I5" s="74"/>
      <c r="K5" s="268"/>
      <c r="L5" s="269"/>
      <c r="M5" s="270"/>
      <c r="N5" s="270"/>
      <c r="O5" s="270"/>
      <c r="P5" s="270"/>
      <c r="Q5" s="270"/>
      <c r="R5" s="271"/>
      <c r="S5" s="272"/>
      <c r="T5" s="274"/>
    </row>
    <row r="6" spans="2:20" s="69" customFormat="1" ht="18" x14ac:dyDescent="0.35">
      <c r="B6" s="82" t="s">
        <v>55</v>
      </c>
      <c r="C6" s="75">
        <v>1577200</v>
      </c>
      <c r="D6" s="75">
        <v>1632400</v>
      </c>
      <c r="E6" s="75">
        <v>1689500</v>
      </c>
      <c r="F6" s="75">
        <v>1748800</v>
      </c>
      <c r="G6" s="75">
        <v>1810000</v>
      </c>
      <c r="H6" s="76">
        <v>8457900</v>
      </c>
      <c r="I6" s="77">
        <f>H6/$H$5</f>
        <v>0.74879817269129634</v>
      </c>
      <c r="K6" s="272"/>
      <c r="L6" s="270"/>
      <c r="M6" s="270"/>
      <c r="N6" s="270"/>
      <c r="O6" s="270"/>
      <c r="P6" s="270"/>
      <c r="Q6" s="270"/>
      <c r="R6" s="271"/>
      <c r="S6" s="272"/>
      <c r="T6" s="274"/>
    </row>
    <row r="7" spans="2:20" s="69" customFormat="1" ht="18" x14ac:dyDescent="0.35">
      <c r="B7" s="82" t="s">
        <v>56</v>
      </c>
      <c r="C7" s="75">
        <v>408600</v>
      </c>
      <c r="D7" s="75">
        <v>422900</v>
      </c>
      <c r="E7" s="75">
        <v>437800</v>
      </c>
      <c r="F7" s="75">
        <v>453000</v>
      </c>
      <c r="G7" s="75">
        <v>468800</v>
      </c>
      <c r="H7" s="76">
        <v>2191100</v>
      </c>
      <c r="I7" s="77">
        <f t="shared" ref="I7:I8" si="0">H7/$H$5</f>
        <v>0.19398333820261524</v>
      </c>
      <c r="K7" s="272"/>
      <c r="L7" s="270"/>
      <c r="M7" s="270"/>
      <c r="N7" s="270"/>
      <c r="O7" s="270"/>
      <c r="P7" s="270"/>
      <c r="Q7" s="270"/>
      <c r="R7" s="271"/>
      <c r="S7" s="272"/>
      <c r="T7" s="274"/>
    </row>
    <row r="8" spans="2:20" s="69" customFormat="1" ht="18.600000000000001" thickBot="1" x14ac:dyDescent="0.4">
      <c r="B8" s="83" t="s">
        <v>88</v>
      </c>
      <c r="C8" s="78">
        <v>120500</v>
      </c>
      <c r="D8" s="78">
        <v>124800</v>
      </c>
      <c r="E8" s="78">
        <v>129100</v>
      </c>
      <c r="F8" s="78">
        <v>133600</v>
      </c>
      <c r="G8" s="78">
        <v>138300</v>
      </c>
      <c r="H8" s="79">
        <v>646300</v>
      </c>
      <c r="I8" s="80">
        <f t="shared" si="0"/>
        <v>5.7218489106088372E-2</v>
      </c>
      <c r="K8" s="274"/>
      <c r="L8" s="274"/>
      <c r="M8" s="274"/>
      <c r="N8" s="274"/>
      <c r="O8" s="274"/>
      <c r="P8" s="274"/>
      <c r="Q8" s="274"/>
      <c r="R8" s="274"/>
      <c r="S8" s="274"/>
      <c r="T8" s="274"/>
    </row>
    <row r="9" spans="2:20" s="69" customFormat="1" ht="18" x14ac:dyDescent="0.35">
      <c r="B9" s="426"/>
      <c r="C9" s="414"/>
      <c r="D9" s="414"/>
      <c r="E9" s="414"/>
      <c r="F9" s="414"/>
      <c r="G9" s="414"/>
      <c r="H9" s="427"/>
      <c r="I9" s="428"/>
      <c r="K9" s="274"/>
      <c r="L9" s="274"/>
      <c r="M9" s="274"/>
      <c r="N9" s="274"/>
      <c r="O9" s="274"/>
      <c r="P9" s="274"/>
      <c r="Q9" s="274"/>
      <c r="R9" s="274"/>
      <c r="S9" s="274"/>
      <c r="T9" s="274"/>
    </row>
    <row r="11" spans="2:20" s="69" customFormat="1" ht="36.6" thickBot="1" x14ac:dyDescent="0.4">
      <c r="B11" s="425" t="s">
        <v>631</v>
      </c>
      <c r="C11" s="118">
        <v>2025</v>
      </c>
      <c r="D11" s="118">
        <v>2026</v>
      </c>
      <c r="E11" s="118">
        <v>2027</v>
      </c>
      <c r="F11" s="118">
        <v>2028</v>
      </c>
      <c r="G11" s="118">
        <v>2029</v>
      </c>
      <c r="H11" s="119" t="s">
        <v>50</v>
      </c>
      <c r="I11" s="119" t="s">
        <v>51</v>
      </c>
      <c r="K11" s="272"/>
      <c r="L11" s="272"/>
      <c r="M11" s="272"/>
      <c r="N11" s="272"/>
      <c r="O11" s="272"/>
      <c r="P11" s="272"/>
      <c r="Q11" s="272"/>
      <c r="R11" s="272"/>
      <c r="S11" s="272"/>
      <c r="T11" s="274"/>
    </row>
    <row r="12" spans="2:20" s="69" customFormat="1" ht="18" x14ac:dyDescent="0.35">
      <c r="B12" s="81" t="s">
        <v>53</v>
      </c>
      <c r="C12" s="73">
        <f>SUM(C13:C15)</f>
        <v>2106300</v>
      </c>
      <c r="D12" s="73">
        <f t="shared" ref="D12:H12" si="1">SUM(D13:D15)</f>
        <v>2180100</v>
      </c>
      <c r="E12" s="73">
        <f t="shared" si="1"/>
        <v>2256400</v>
      </c>
      <c r="F12" s="73">
        <f t="shared" si="1"/>
        <v>2335400</v>
      </c>
      <c r="G12" s="73">
        <f t="shared" si="1"/>
        <v>2401205</v>
      </c>
      <c r="H12" s="73">
        <f t="shared" si="1"/>
        <v>11279405</v>
      </c>
      <c r="I12" s="74"/>
      <c r="K12" s="268"/>
      <c r="L12" s="269"/>
      <c r="M12" s="270"/>
      <c r="N12" s="270"/>
      <c r="O12" s="270"/>
      <c r="P12" s="270"/>
      <c r="Q12" s="270"/>
      <c r="R12" s="271"/>
      <c r="S12" s="272"/>
      <c r="T12" s="274"/>
    </row>
    <row r="13" spans="2:20" s="69" customFormat="1" ht="18" x14ac:dyDescent="0.35">
      <c r="B13" s="82" t="s">
        <v>55</v>
      </c>
      <c r="C13" s="75">
        <f>'Funding Shares'!C10</f>
        <v>1577200</v>
      </c>
      <c r="D13" s="75">
        <f>'Funding Shares'!D10</f>
        <v>1632400</v>
      </c>
      <c r="E13" s="75">
        <f>'Funding Shares'!E10</f>
        <v>1689500</v>
      </c>
      <c r="F13" s="75">
        <f>'Funding Shares'!F10</f>
        <v>1748800</v>
      </c>
      <c r="G13" s="75">
        <f>'Funding Shares'!G10</f>
        <v>1795282.65</v>
      </c>
      <c r="H13" s="76">
        <f>SUM(C13:G13)</f>
        <v>8443182.6500000004</v>
      </c>
      <c r="I13" s="77">
        <f>H13/$H$5</f>
        <v>0.74749521039724487</v>
      </c>
      <c r="K13" s="272"/>
      <c r="L13" s="270"/>
      <c r="M13" s="270"/>
      <c r="N13" s="270"/>
      <c r="O13" s="270"/>
      <c r="P13" s="270"/>
      <c r="Q13" s="270"/>
      <c r="R13" s="271"/>
      <c r="S13" s="272"/>
      <c r="T13" s="274"/>
    </row>
    <row r="14" spans="2:20" s="69" customFormat="1" ht="18" x14ac:dyDescent="0.35">
      <c r="B14" s="82" t="s">
        <v>56</v>
      </c>
      <c r="C14" s="75">
        <f>'Funding Shares'!C11</f>
        <v>408600</v>
      </c>
      <c r="D14" s="75">
        <f>'Funding Shares'!D11</f>
        <v>422900</v>
      </c>
      <c r="E14" s="75">
        <f>'Funding Shares'!E11</f>
        <v>437800</v>
      </c>
      <c r="F14" s="75">
        <f>'Funding Shares'!F11</f>
        <v>453000</v>
      </c>
      <c r="G14" s="75">
        <f>'Funding Shares'!G11</f>
        <v>468800</v>
      </c>
      <c r="H14" s="76">
        <f t="shared" ref="H14:H15" si="2">SUM(C14:G14)</f>
        <v>2191100</v>
      </c>
      <c r="I14" s="77">
        <f t="shared" ref="I14:I15" si="3">H14/$H$5</f>
        <v>0.19398333820261524</v>
      </c>
      <c r="K14" s="272"/>
      <c r="L14" s="270"/>
      <c r="M14" s="270"/>
      <c r="N14" s="270"/>
      <c r="O14" s="270"/>
      <c r="P14" s="270"/>
      <c r="Q14" s="270"/>
      <c r="R14" s="271"/>
      <c r="S14" s="272"/>
      <c r="T14" s="274"/>
    </row>
    <row r="15" spans="2:20" s="69" customFormat="1" ht="18.600000000000001" thickBot="1" x14ac:dyDescent="0.4">
      <c r="B15" s="83" t="s">
        <v>88</v>
      </c>
      <c r="C15" s="78">
        <f>'Funding Shares'!C12</f>
        <v>120500</v>
      </c>
      <c r="D15" s="78">
        <f>'Funding Shares'!D12</f>
        <v>124800</v>
      </c>
      <c r="E15" s="78">
        <f>'Funding Shares'!E12</f>
        <v>129100</v>
      </c>
      <c r="F15" s="78">
        <f>'Funding Shares'!F12</f>
        <v>133600</v>
      </c>
      <c r="G15" s="78">
        <f>'Funding Shares'!G12</f>
        <v>137122.35</v>
      </c>
      <c r="H15" s="79">
        <f t="shared" si="2"/>
        <v>645122.35</v>
      </c>
      <c r="I15" s="80">
        <f t="shared" si="3"/>
        <v>5.7114228927075864E-2</v>
      </c>
      <c r="K15" s="274"/>
      <c r="L15" s="274"/>
      <c r="M15" s="274"/>
      <c r="N15" s="274"/>
      <c r="O15" s="274"/>
      <c r="P15" s="274"/>
      <c r="Q15" s="274"/>
      <c r="R15" s="274"/>
      <c r="S15" s="274"/>
      <c r="T15" s="274"/>
    </row>
    <row r="16" spans="2:20" s="69" customFormat="1" ht="18" x14ac:dyDescent="0.35">
      <c r="B16" s="426"/>
      <c r="C16" s="414"/>
      <c r="D16" s="414"/>
      <c r="E16" s="414"/>
      <c r="F16" s="414"/>
      <c r="G16" s="414"/>
      <c r="H16" s="427"/>
      <c r="I16" s="428"/>
      <c r="K16" s="274"/>
      <c r="L16" s="274"/>
      <c r="M16" s="274"/>
      <c r="N16" s="274"/>
      <c r="O16" s="274"/>
      <c r="P16" s="274"/>
      <c r="Q16" s="274"/>
      <c r="R16" s="274"/>
      <c r="S16" s="274"/>
      <c r="T16" s="274"/>
    </row>
    <row r="18" spans="2:20" s="69" customFormat="1" ht="37.5" customHeight="1" x14ac:dyDescent="0.35">
      <c r="B18" s="463" t="s">
        <v>90</v>
      </c>
      <c r="C18" s="126">
        <v>2025</v>
      </c>
      <c r="D18" s="126">
        <v>2026</v>
      </c>
      <c r="E18" s="126">
        <v>2027</v>
      </c>
      <c r="F18" s="126">
        <v>2028</v>
      </c>
      <c r="G18" s="126">
        <v>2029</v>
      </c>
      <c r="H18" s="466" t="s">
        <v>52</v>
      </c>
      <c r="I18" s="466" t="s">
        <v>51</v>
      </c>
      <c r="K18" s="272"/>
      <c r="L18" s="272"/>
      <c r="M18" s="272"/>
      <c r="N18" s="272"/>
      <c r="O18" s="272"/>
      <c r="P18" s="272"/>
      <c r="Q18" s="272"/>
      <c r="R18" s="272"/>
      <c r="S18" s="272"/>
      <c r="T18" s="274"/>
    </row>
    <row r="19" spans="2:20" s="69" customFormat="1" ht="18.600000000000001" thickBot="1" x14ac:dyDescent="0.4">
      <c r="B19" s="464"/>
      <c r="C19" s="465" t="s">
        <v>89</v>
      </c>
      <c r="D19" s="465"/>
      <c r="E19" s="465"/>
      <c r="F19" s="465"/>
      <c r="G19" s="465"/>
      <c r="H19" s="467"/>
      <c r="I19" s="467"/>
      <c r="K19" s="268"/>
      <c r="L19" s="269"/>
      <c r="M19" s="270"/>
      <c r="N19" s="270"/>
      <c r="O19" s="270"/>
      <c r="P19" s="270"/>
      <c r="Q19" s="270"/>
      <c r="R19" s="271"/>
      <c r="S19" s="272"/>
      <c r="T19" s="274"/>
    </row>
    <row r="20" spans="2:20" s="69" customFormat="1" ht="18" x14ac:dyDescent="0.35">
      <c r="B20" s="121" t="s">
        <v>54</v>
      </c>
      <c r="C20" s="122">
        <v>1535800</v>
      </c>
      <c r="D20" s="122">
        <v>1564900</v>
      </c>
      <c r="E20" s="122">
        <v>1713100</v>
      </c>
      <c r="F20" s="122">
        <v>1800400</v>
      </c>
      <c r="G20" s="122">
        <f>H13-SUM(C20:F20)</f>
        <v>1828982.6500000004</v>
      </c>
      <c r="H20" s="123">
        <f>SUM(C20:G20)</f>
        <v>8443182.6500000004</v>
      </c>
      <c r="I20" s="124">
        <f>H20/$H$5</f>
        <v>0.74749521039724487</v>
      </c>
      <c r="K20" s="272"/>
      <c r="L20" s="270"/>
      <c r="M20" s="270"/>
      <c r="N20" s="270"/>
      <c r="O20" s="270"/>
      <c r="P20" s="270"/>
      <c r="Q20" s="270"/>
      <c r="R20" s="271"/>
      <c r="S20" s="272"/>
      <c r="T20" s="274"/>
    </row>
    <row r="21" spans="2:20" s="69" customFormat="1" ht="18" x14ac:dyDescent="0.35">
      <c r="B21" s="82" t="s">
        <v>87</v>
      </c>
      <c r="C21" s="75">
        <v>442500</v>
      </c>
      <c r="D21" s="75">
        <v>444300</v>
      </c>
      <c r="E21" s="75">
        <v>408600</v>
      </c>
      <c r="F21" s="75">
        <v>434500</v>
      </c>
      <c r="G21" s="75">
        <v>461200</v>
      </c>
      <c r="H21" s="123">
        <f t="shared" ref="H21:H22" si="4">SUM(C21:G21)</f>
        <v>2191100</v>
      </c>
      <c r="I21" s="77">
        <f t="shared" ref="I21:I22" si="5">H21/$H$5</f>
        <v>0.19398333820261524</v>
      </c>
      <c r="K21" s="272"/>
      <c r="L21" s="270"/>
      <c r="M21" s="270"/>
      <c r="N21" s="270"/>
      <c r="O21" s="270"/>
      <c r="P21" s="270"/>
      <c r="Q21" s="270"/>
      <c r="R21" s="271"/>
      <c r="S21" s="272"/>
      <c r="T21" s="274"/>
    </row>
    <row r="22" spans="2:20" s="69" customFormat="1" ht="18.600000000000001" thickBot="1" x14ac:dyDescent="0.4">
      <c r="B22" s="83" t="s">
        <v>13</v>
      </c>
      <c r="C22" s="78">
        <v>128000</v>
      </c>
      <c r="D22" s="78">
        <v>170900</v>
      </c>
      <c r="E22" s="78">
        <v>134700</v>
      </c>
      <c r="F22" s="78">
        <v>100500</v>
      </c>
      <c r="G22" s="78">
        <f>H15-SUM(C22:F22)</f>
        <v>111022.34999999998</v>
      </c>
      <c r="H22" s="123">
        <f t="shared" si="4"/>
        <v>645122.35</v>
      </c>
      <c r="I22" s="80">
        <f t="shared" si="5"/>
        <v>5.7114228927075864E-2</v>
      </c>
      <c r="K22" s="274"/>
      <c r="L22" s="274"/>
      <c r="M22" s="274"/>
      <c r="N22" s="274"/>
      <c r="O22" s="274"/>
      <c r="P22" s="274"/>
      <c r="Q22" s="274"/>
      <c r="R22" s="274"/>
      <c r="S22" s="274"/>
      <c r="T22" s="274"/>
    </row>
    <row r="23" spans="2:20" ht="18.600000000000001" thickBot="1" x14ac:dyDescent="0.4">
      <c r="B23" s="120" t="s">
        <v>52</v>
      </c>
      <c r="C23" s="125">
        <f>SUM(C20:C22)</f>
        <v>2106300</v>
      </c>
      <c r="D23" s="125">
        <f t="shared" ref="D23:H23" si="6">SUM(D20:D22)</f>
        <v>2180100</v>
      </c>
      <c r="E23" s="125">
        <f t="shared" si="6"/>
        <v>2256400</v>
      </c>
      <c r="F23" s="125">
        <f t="shared" si="6"/>
        <v>2335400</v>
      </c>
      <c r="G23" s="125">
        <f t="shared" si="6"/>
        <v>2401205.0000000005</v>
      </c>
      <c r="H23" s="125">
        <f t="shared" si="6"/>
        <v>11279405</v>
      </c>
      <c r="I23" s="120"/>
    </row>
    <row r="26" spans="2:20" s="69" customFormat="1" ht="37.5" customHeight="1" x14ac:dyDescent="0.35">
      <c r="B26" s="468" t="s">
        <v>91</v>
      </c>
      <c r="C26" s="127">
        <v>2025</v>
      </c>
      <c r="D26" s="127">
        <v>2026</v>
      </c>
      <c r="E26" s="127">
        <v>2027</v>
      </c>
      <c r="F26" s="127">
        <v>2028</v>
      </c>
      <c r="G26" s="127">
        <v>2029</v>
      </c>
      <c r="H26"/>
      <c r="I26"/>
      <c r="K26" s="272"/>
      <c r="L26" s="272"/>
      <c r="M26" s="272"/>
      <c r="N26" s="272"/>
      <c r="O26" s="272"/>
      <c r="P26" s="272"/>
      <c r="Q26" s="272"/>
      <c r="R26" s="272"/>
      <c r="S26" s="272"/>
      <c r="T26" s="274"/>
    </row>
    <row r="27" spans="2:20" s="69" customFormat="1" ht="18.600000000000001" thickBot="1" x14ac:dyDescent="0.4">
      <c r="B27" s="469"/>
      <c r="C27" s="465" t="s">
        <v>89</v>
      </c>
      <c r="D27" s="465"/>
      <c r="E27" s="465"/>
      <c r="F27" s="465"/>
      <c r="G27" s="465"/>
      <c r="H27"/>
      <c r="I27"/>
      <c r="K27" s="268"/>
      <c r="L27" s="269"/>
      <c r="M27" s="270"/>
      <c r="N27" s="270"/>
      <c r="O27" s="270"/>
      <c r="P27" s="270"/>
      <c r="Q27" s="270"/>
      <c r="R27" s="271"/>
      <c r="S27" s="272"/>
      <c r="T27" s="274"/>
    </row>
    <row r="28" spans="2:20" s="69" customFormat="1" ht="18" x14ac:dyDescent="0.35">
      <c r="B28" s="121" t="s">
        <v>54</v>
      </c>
      <c r="C28" s="128">
        <f>C20/C23</f>
        <v>0.7291458956463942</v>
      </c>
      <c r="D28" s="128">
        <f t="shared" ref="D28:G28" si="7">D20/D23</f>
        <v>0.71781110958212924</v>
      </c>
      <c r="E28" s="128">
        <f t="shared" si="7"/>
        <v>0.75921822371919867</v>
      </c>
      <c r="F28" s="128">
        <f t="shared" si="7"/>
        <v>0.77091718763381001</v>
      </c>
      <c r="G28" s="128">
        <f t="shared" si="7"/>
        <v>0.76169367046961833</v>
      </c>
      <c r="H28"/>
      <c r="I28"/>
      <c r="K28" s="272"/>
      <c r="L28" s="270"/>
      <c r="M28" s="270"/>
      <c r="N28" s="270"/>
      <c r="O28" s="270"/>
      <c r="P28" s="270"/>
      <c r="Q28" s="270"/>
      <c r="R28" s="271"/>
      <c r="S28" s="272"/>
      <c r="T28" s="274"/>
    </row>
    <row r="29" spans="2:20" s="69" customFormat="1" ht="18" x14ac:dyDescent="0.35">
      <c r="B29" s="82" t="s">
        <v>87</v>
      </c>
      <c r="C29" s="128">
        <f>C21/C23</f>
        <v>0.21008403361344538</v>
      </c>
      <c r="D29" s="128">
        <f t="shared" ref="D29:G29" si="8">D21/D23</f>
        <v>0.20379799091784781</v>
      </c>
      <c r="E29" s="128">
        <f t="shared" si="8"/>
        <v>0.18108491402233645</v>
      </c>
      <c r="F29" s="128">
        <f t="shared" si="8"/>
        <v>0.18604949901515799</v>
      </c>
      <c r="G29" s="128">
        <f t="shared" si="8"/>
        <v>0.19207023140464888</v>
      </c>
      <c r="H29"/>
      <c r="I29"/>
      <c r="K29" s="272"/>
      <c r="L29" s="270"/>
      <c r="M29" s="270"/>
      <c r="N29" s="270"/>
      <c r="O29" s="270"/>
      <c r="P29" s="270"/>
      <c r="Q29" s="270"/>
      <c r="R29" s="271"/>
      <c r="S29" s="272"/>
      <c r="T29" s="274"/>
    </row>
    <row r="30" spans="2:20" s="69" customFormat="1" ht="18.600000000000001" thickBot="1" x14ac:dyDescent="0.4">
      <c r="B30" s="83" t="s">
        <v>13</v>
      </c>
      <c r="C30" s="128">
        <f>C22/C23</f>
        <v>6.077007074016047E-2</v>
      </c>
      <c r="D30" s="128">
        <f t="shared" ref="D30:G30" si="9">D22/D23</f>
        <v>7.839089950002294E-2</v>
      </c>
      <c r="E30" s="128">
        <f t="shared" si="9"/>
        <v>5.9696862258464808E-2</v>
      </c>
      <c r="F30" s="128">
        <f t="shared" si="9"/>
        <v>4.3033313351031943E-2</v>
      </c>
      <c r="G30" s="128">
        <f t="shared" si="9"/>
        <v>4.6236098125732684E-2</v>
      </c>
      <c r="H30"/>
      <c r="I30"/>
      <c r="K30" s="274"/>
      <c r="L30" s="274"/>
      <c r="M30" s="274"/>
      <c r="N30" s="274"/>
      <c r="O30" s="274"/>
      <c r="P30" s="274"/>
      <c r="Q30" s="274"/>
      <c r="R30" s="274"/>
      <c r="S30" s="274"/>
      <c r="T30" s="274"/>
    </row>
    <row r="31" spans="2:20" ht="18.600000000000001" thickBot="1" x14ac:dyDescent="0.4">
      <c r="B31" s="120" t="s">
        <v>52</v>
      </c>
      <c r="C31" s="129">
        <f>SUM(C28:C30)</f>
        <v>1</v>
      </c>
      <c r="D31" s="129">
        <f t="shared" ref="D31" si="10">SUM(D28:D30)</f>
        <v>1</v>
      </c>
      <c r="E31" s="129">
        <f t="shared" ref="E31" si="11">SUM(E28:E30)</f>
        <v>1</v>
      </c>
      <c r="F31" s="129">
        <f t="shared" ref="F31" si="12">SUM(F28:F30)</f>
        <v>1</v>
      </c>
      <c r="G31" s="129">
        <f t="shared" ref="G31" si="13">SUM(G28:G30)</f>
        <v>0.99999999999999989</v>
      </c>
      <c r="H31"/>
      <c r="I31"/>
    </row>
    <row r="32" spans="2:20" x14ac:dyDescent="0.3">
      <c r="H32"/>
      <c r="I32"/>
    </row>
    <row r="33" spans="8:9" x14ac:dyDescent="0.3">
      <c r="H33"/>
      <c r="I33"/>
    </row>
  </sheetData>
  <mergeCells count="6">
    <mergeCell ref="B18:B19"/>
    <mergeCell ref="C19:G19"/>
    <mergeCell ref="H18:H19"/>
    <mergeCell ref="I18:I19"/>
    <mergeCell ref="B26:B27"/>
    <mergeCell ref="C27:G27"/>
  </mergeCell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D7603-2FDA-4A11-8C87-A4C04DCEAA36}">
  <sheetPr codeName="Sheet8"/>
  <dimension ref="A1:AZ113"/>
  <sheetViews>
    <sheetView workbookViewId="0">
      <selection activeCell="C15" sqref="C15"/>
    </sheetView>
  </sheetViews>
  <sheetFormatPr defaultColWidth="9.109375" defaultRowHeight="15.6" x14ac:dyDescent="0.3"/>
  <cols>
    <col min="1" max="1" width="9.109375" style="2"/>
    <col min="2" max="2" width="57.6640625" style="2" customWidth="1"/>
    <col min="3" max="7" width="17.33203125" style="2" customWidth="1"/>
    <col min="8" max="11" width="10.6640625" style="2" customWidth="1"/>
    <col min="12" max="12" width="113" style="2" customWidth="1"/>
    <col min="13" max="17" width="17.33203125" style="2" hidden="1" customWidth="1"/>
    <col min="18" max="21" width="10.6640625" style="2" hidden="1" customWidth="1"/>
    <col min="22" max="22" width="27.88671875" style="2" hidden="1" customWidth="1"/>
    <col min="23" max="27" width="17.33203125" style="2" hidden="1" customWidth="1"/>
    <col min="28" max="31" width="10.6640625" style="2" hidden="1" customWidth="1"/>
    <col min="32" max="32" width="19.6640625" style="2" hidden="1" customWidth="1"/>
    <col min="33" max="37" width="17.33203125" style="2" hidden="1" customWidth="1"/>
    <col min="38" max="41" width="10.6640625" style="2" hidden="1" customWidth="1"/>
    <col min="42" max="42" width="19.6640625" style="2" hidden="1" customWidth="1"/>
    <col min="43" max="47" width="17.33203125" style="2" hidden="1" customWidth="1"/>
    <col min="48" max="51" width="10.6640625" style="2" hidden="1" customWidth="1"/>
    <col min="52" max="52" width="47.88671875" style="2" hidden="1" customWidth="1"/>
    <col min="53" max="16384" width="9.109375" style="2"/>
  </cols>
  <sheetData>
    <row r="1" spans="1:52" ht="18" x14ac:dyDescent="0.35">
      <c r="B1" s="1" t="s">
        <v>629</v>
      </c>
      <c r="C1" s="175"/>
      <c r="H1" s="176" t="s">
        <v>376</v>
      </c>
      <c r="I1" s="177"/>
    </row>
    <row r="2" spans="1:52" ht="15.75" customHeight="1" x14ac:dyDescent="0.3">
      <c r="B2" s="3" t="str">
        <f>'Table of Contents'!$B$2</f>
        <v>Final 2026 RTF Work Plan - October 7, 2025</v>
      </c>
      <c r="C2" s="175"/>
      <c r="H2" s="176" t="s">
        <v>377</v>
      </c>
      <c r="I2" s="178"/>
    </row>
    <row r="3" spans="1:52" ht="15.75" customHeight="1" x14ac:dyDescent="0.3">
      <c r="B3" s="179" t="s">
        <v>378</v>
      </c>
      <c r="C3" s="180">
        <v>3.5000000000000003E-2</v>
      </c>
      <c r="H3" s="176" t="s">
        <v>379</v>
      </c>
      <c r="I3" s="178"/>
      <c r="L3" s="181"/>
      <c r="V3" s="181"/>
      <c r="AF3" s="181"/>
      <c r="AP3" s="181"/>
      <c r="AZ3" s="181"/>
    </row>
    <row r="4" spans="1:52" ht="15.75" customHeight="1" x14ac:dyDescent="0.35">
      <c r="B4" s="182"/>
      <c r="C4" s="175"/>
      <c r="D4" s="183"/>
      <c r="E4" s="183"/>
      <c r="F4" s="184"/>
      <c r="H4" s="176"/>
      <c r="I4" s="178"/>
      <c r="K4" s="203"/>
      <c r="L4" s="266">
        <f>'Funding Shares'!D6</f>
        <v>2180100</v>
      </c>
      <c r="P4" s="184"/>
      <c r="V4" s="175"/>
      <c r="Z4" s="184"/>
      <c r="AF4" s="175"/>
      <c r="AJ4" s="184"/>
      <c r="AP4" s="175"/>
      <c r="AT4" s="184"/>
      <c r="AZ4" s="175"/>
    </row>
    <row r="5" spans="1:52" ht="18" x14ac:dyDescent="0.35">
      <c r="C5" s="470" t="s">
        <v>380</v>
      </c>
      <c r="D5" s="471"/>
      <c r="E5" s="471"/>
      <c r="F5" s="471"/>
      <c r="G5" s="471"/>
      <c r="H5" s="471"/>
      <c r="I5" s="471"/>
      <c r="J5" s="471"/>
      <c r="K5" s="472"/>
      <c r="L5" s="195">
        <f>F54</f>
        <v>2180100</v>
      </c>
      <c r="M5" s="470" t="s">
        <v>380</v>
      </c>
      <c r="N5" s="471"/>
      <c r="O5" s="471"/>
      <c r="P5" s="471"/>
      <c r="Q5" s="471"/>
      <c r="R5" s="471"/>
      <c r="S5" s="471"/>
      <c r="T5" s="471"/>
      <c r="U5" s="472"/>
      <c r="V5" s="185">
        <f>P53</f>
        <v>0</v>
      </c>
      <c r="W5" s="470" t="s">
        <v>381</v>
      </c>
      <c r="X5" s="471"/>
      <c r="Y5" s="471"/>
      <c r="Z5" s="471"/>
      <c r="AA5" s="471"/>
      <c r="AB5" s="471"/>
      <c r="AC5" s="471"/>
      <c r="AD5" s="471"/>
      <c r="AE5" s="472"/>
      <c r="AF5" s="185">
        <f>Z53</f>
        <v>0</v>
      </c>
      <c r="AG5" s="470" t="s">
        <v>382</v>
      </c>
      <c r="AH5" s="471"/>
      <c r="AI5" s="471"/>
      <c r="AJ5" s="471"/>
      <c r="AK5" s="471"/>
      <c r="AL5" s="471"/>
      <c r="AM5" s="471"/>
      <c r="AN5" s="471"/>
      <c r="AO5" s="472"/>
      <c r="AP5" s="185">
        <f>AJ53</f>
        <v>0</v>
      </c>
      <c r="AQ5" s="470" t="s">
        <v>383</v>
      </c>
      <c r="AR5" s="471"/>
      <c r="AS5" s="471"/>
      <c r="AT5" s="471"/>
      <c r="AU5" s="471"/>
      <c r="AV5" s="471"/>
      <c r="AW5" s="471"/>
      <c r="AX5" s="471"/>
      <c r="AY5" s="472"/>
      <c r="AZ5" s="185">
        <f>AT53</f>
        <v>0</v>
      </c>
    </row>
    <row r="6" spans="1:52" s="296" customFormat="1" ht="46.8" x14ac:dyDescent="0.3">
      <c r="A6" s="309" t="s">
        <v>491</v>
      </c>
      <c r="B6" s="309" t="s">
        <v>384</v>
      </c>
      <c r="C6" s="310" t="s">
        <v>385</v>
      </c>
      <c r="D6" s="311" t="s">
        <v>386</v>
      </c>
      <c r="E6" s="311" t="s">
        <v>118</v>
      </c>
      <c r="F6" s="311" t="s">
        <v>387</v>
      </c>
      <c r="G6" s="311" t="s">
        <v>388</v>
      </c>
      <c r="H6" s="311" t="s">
        <v>30</v>
      </c>
      <c r="I6" s="311" t="s">
        <v>389</v>
      </c>
      <c r="J6" s="311" t="s">
        <v>390</v>
      </c>
      <c r="K6" s="311" t="s">
        <v>391</v>
      </c>
      <c r="L6" s="312" t="s">
        <v>2</v>
      </c>
    </row>
    <row r="7" spans="1:52" s="318" customFormat="1" x14ac:dyDescent="0.3">
      <c r="A7" s="313">
        <v>1</v>
      </c>
      <c r="B7" s="313" t="s">
        <v>6</v>
      </c>
      <c r="C7" s="314">
        <f>SUM(C8:C12)</f>
        <v>159600</v>
      </c>
      <c r="D7" s="315">
        <f>SUM(D8:D12)</f>
        <v>478800</v>
      </c>
      <c r="E7" s="315">
        <f>SUM(E8:E12)</f>
        <v>0</v>
      </c>
      <c r="F7" s="315">
        <f>SUM(F8:F12)</f>
        <v>638400</v>
      </c>
      <c r="G7" s="315">
        <f>SUM(G8:G12)</f>
        <v>29400</v>
      </c>
      <c r="H7" s="316">
        <f>F7/$F$54</f>
        <v>0.29283060410072931</v>
      </c>
      <c r="I7" s="316"/>
      <c r="J7" s="316"/>
      <c r="K7" s="316"/>
      <c r="L7" s="317"/>
    </row>
    <row r="8" spans="1:52" s="377" customFormat="1" x14ac:dyDescent="0.3">
      <c r="A8" s="386" t="s">
        <v>492</v>
      </c>
      <c r="B8" s="386" t="s">
        <v>564</v>
      </c>
      <c r="C8" s="382">
        <f>'Measure and Costs Assumptions'!C21*'Measure and Costs Assumptions'!$C$5</f>
        <v>68400</v>
      </c>
      <c r="D8" s="383">
        <f>'Measure and Costs Assumptions'!C21*'Measure and Costs Assumptions'!$C$6</f>
        <v>205200</v>
      </c>
      <c r="E8" s="383">
        <v>0</v>
      </c>
      <c r="F8" s="383">
        <f>SUM(C8:E8)</f>
        <v>273600</v>
      </c>
      <c r="G8" s="383">
        <f>'Measure and Costs Assumptions'!C21*'Measure and Costs Assumptions'!$C$8</f>
        <v>12600</v>
      </c>
      <c r="H8" s="376"/>
      <c r="I8" s="385">
        <f>1-SUM(J8:K8)</f>
        <v>1</v>
      </c>
      <c r="J8" s="385">
        <v>0</v>
      </c>
      <c r="K8" s="385">
        <v>0</v>
      </c>
      <c r="L8" s="384" t="str">
        <f>"Assumes update of "&amp; 'Measure and Costs Assumptions'!C21 &amp;" measures"</f>
        <v>Assumes update of 12 measures</v>
      </c>
    </row>
    <row r="9" spans="1:52" s="377" customFormat="1" x14ac:dyDescent="0.3">
      <c r="A9" s="386" t="s">
        <v>493</v>
      </c>
      <c r="B9" s="386" t="s">
        <v>565</v>
      </c>
      <c r="C9" s="382">
        <f>'Measure and Costs Assumptions'!C22*'Measure and Costs Assumptions'!$C$5</f>
        <v>51300</v>
      </c>
      <c r="D9" s="383">
        <f>'Measure and Costs Assumptions'!C22*'Measure and Costs Assumptions'!$C$6</f>
        <v>153900</v>
      </c>
      <c r="E9" s="383">
        <v>0</v>
      </c>
      <c r="F9" s="383">
        <f t="shared" ref="F9:F12" si="0">SUM(C9:E9)</f>
        <v>205200</v>
      </c>
      <c r="G9" s="383">
        <f>'Measure and Costs Assumptions'!C22*'Measure and Costs Assumptions'!$C$8</f>
        <v>9450</v>
      </c>
      <c r="H9" s="376"/>
      <c r="I9" s="385">
        <f>1-SUM(J9:K9)</f>
        <v>0.75</v>
      </c>
      <c r="J9" s="385">
        <v>0</v>
      </c>
      <c r="K9" s="385">
        <v>0.25</v>
      </c>
      <c r="L9" s="384" t="str">
        <f>"Assumes update of "&amp; 'Measure and Costs Assumptions'!C22 &amp;" measures"</f>
        <v>Assumes update of 9 measures</v>
      </c>
    </row>
    <row r="10" spans="1:52" s="377" customFormat="1" x14ac:dyDescent="0.3">
      <c r="A10" s="386" t="s">
        <v>494</v>
      </c>
      <c r="B10" s="386" t="s">
        <v>566</v>
      </c>
      <c r="C10" s="382">
        <f>'Measure and Costs Assumptions'!C23*'Measure and Costs Assumptions'!$C$5</f>
        <v>22800</v>
      </c>
      <c r="D10" s="383">
        <f>'Measure and Costs Assumptions'!C23*'Measure and Costs Assumptions'!$C$6</f>
        <v>68400</v>
      </c>
      <c r="E10" s="383">
        <v>0</v>
      </c>
      <c r="F10" s="383">
        <f t="shared" si="0"/>
        <v>91200</v>
      </c>
      <c r="G10" s="383">
        <f>'Measure and Costs Assumptions'!C23*'Measure and Costs Assumptions'!$C$8</f>
        <v>4200</v>
      </c>
      <c r="H10" s="376"/>
      <c r="I10" s="385">
        <f t="shared" ref="I10:I11" si="1">1-SUM(J10:K10)</f>
        <v>0.75</v>
      </c>
      <c r="J10" s="385">
        <v>0.25</v>
      </c>
      <c r="K10" s="385">
        <v>0</v>
      </c>
      <c r="L10" s="384" t="str">
        <f>"Assumes update of "&amp; 'Measure and Costs Assumptions'!C23 &amp;" measures"</f>
        <v>Assumes update of 4 measures</v>
      </c>
    </row>
    <row r="11" spans="1:52" s="377" customFormat="1" x14ac:dyDescent="0.3">
      <c r="A11" s="386" t="s">
        <v>495</v>
      </c>
      <c r="B11" s="386" t="s">
        <v>567</v>
      </c>
      <c r="C11" s="382">
        <f>'Measure and Costs Assumptions'!C24*'Measure and Costs Assumptions'!$C$5</f>
        <v>5700</v>
      </c>
      <c r="D11" s="383">
        <f>'Measure and Costs Assumptions'!C24*'Measure and Costs Assumptions'!$C$6</f>
        <v>17100</v>
      </c>
      <c r="E11" s="383">
        <v>0</v>
      </c>
      <c r="F11" s="383">
        <f t="shared" si="0"/>
        <v>22800</v>
      </c>
      <c r="G11" s="383">
        <f>'Measure and Costs Assumptions'!C24*'Measure and Costs Assumptions'!$C$8</f>
        <v>1050</v>
      </c>
      <c r="H11" s="376"/>
      <c r="I11" s="385">
        <f t="shared" si="1"/>
        <v>0</v>
      </c>
      <c r="J11" s="385">
        <v>1</v>
      </c>
      <c r="K11" s="385">
        <v>0</v>
      </c>
      <c r="L11" s="384" t="str">
        <f>"Assumes update of "&amp; 'Measure and Costs Assumptions'!C24 &amp;" measures"</f>
        <v>Assumes update of 1 measures</v>
      </c>
    </row>
    <row r="12" spans="1:52" s="378" customFormat="1" x14ac:dyDescent="0.3">
      <c r="A12" s="386" t="s">
        <v>496</v>
      </c>
      <c r="B12" s="386" t="s">
        <v>396</v>
      </c>
      <c r="C12" s="382">
        <f>'Measure and Costs Assumptions'!C25*'Measure and Costs Assumptions'!$C$5</f>
        <v>11400</v>
      </c>
      <c r="D12" s="383">
        <f>'Measure and Costs Assumptions'!C25*'Measure and Costs Assumptions'!$C$6</f>
        <v>34200</v>
      </c>
      <c r="E12" s="383">
        <v>0</v>
      </c>
      <c r="F12" s="383">
        <f t="shared" si="0"/>
        <v>45600</v>
      </c>
      <c r="G12" s="383">
        <f>'Measure and Costs Assumptions'!C25*'Measure and Costs Assumptions'!$C$8</f>
        <v>2100</v>
      </c>
      <c r="H12" s="376"/>
      <c r="I12" s="385">
        <f>1-SUM(J12:K12)</f>
        <v>0.75</v>
      </c>
      <c r="J12" s="385">
        <v>0.25</v>
      </c>
      <c r="K12" s="385">
        <v>0</v>
      </c>
      <c r="L12" s="384" t="str">
        <f>"Assumes update of "&amp; 'Measure and Costs Assumptions'!C25 &amp;" impact evaluation guidance"</f>
        <v>Assumes update of 2 impact evaluation guidance</v>
      </c>
    </row>
    <row r="13" spans="1:52" s="296" customFormat="1" x14ac:dyDescent="0.3">
      <c r="A13" s="313">
        <v>2</v>
      </c>
      <c r="B13" s="313" t="s">
        <v>9</v>
      </c>
      <c r="C13" s="314">
        <f>SUM(C14:C19)</f>
        <v>57000</v>
      </c>
      <c r="D13" s="315">
        <f>SUM(D14:D19)</f>
        <v>435000</v>
      </c>
      <c r="E13" s="315">
        <f>SUM(E14:E19)</f>
        <v>0</v>
      </c>
      <c r="F13" s="315">
        <f>SUM(F14:F19)</f>
        <v>492000</v>
      </c>
      <c r="G13" s="315">
        <f>SUM(G14:G19)</f>
        <v>6300</v>
      </c>
      <c r="H13" s="316">
        <f>F13/$F$54</f>
        <v>0.22567772120544929</v>
      </c>
      <c r="I13" s="316"/>
      <c r="J13" s="326"/>
      <c r="K13" s="326"/>
      <c r="L13" s="327"/>
    </row>
    <row r="14" spans="1:52" s="296" customFormat="1" x14ac:dyDescent="0.3">
      <c r="A14" s="319" t="s">
        <v>497</v>
      </c>
      <c r="B14" s="319" t="s">
        <v>392</v>
      </c>
      <c r="C14" s="324">
        <f>'Measure and Costs Assumptions'!C12*'Measure and Costs Assumptions'!$C$5</f>
        <v>5700</v>
      </c>
      <c r="D14" s="320">
        <f>('Measure and Costs Assumptions'!C12*'Measure and Costs Assumptions'!$C$7)</f>
        <v>72500</v>
      </c>
      <c r="E14" s="320">
        <v>0</v>
      </c>
      <c r="F14" s="320">
        <f>SUM(C14:E14)</f>
        <v>78200</v>
      </c>
      <c r="G14" s="320">
        <f>'Measure and Costs Assumptions'!C12*'Measure and Costs Assumptions'!$C$8</f>
        <v>1050</v>
      </c>
      <c r="H14" s="321"/>
      <c r="I14" s="322">
        <f>1-SUM(J14:K14)</f>
        <v>1</v>
      </c>
      <c r="J14" s="322">
        <v>0</v>
      </c>
      <c r="K14" s="322">
        <v>0</v>
      </c>
      <c r="L14" s="323" t="str">
        <f>"Assumes development of "&amp; 'Measure and Costs Assumptions'!C12 &amp;" measures"</f>
        <v>Assumes development of 1 measures</v>
      </c>
    </row>
    <row r="15" spans="1:52" s="296" customFormat="1" x14ac:dyDescent="0.3">
      <c r="A15" s="319" t="s">
        <v>498</v>
      </c>
      <c r="B15" s="319" t="s">
        <v>490</v>
      </c>
      <c r="C15" s="324">
        <f>'Measure and Costs Assumptions'!C13*'Measure and Costs Assumptions'!$C$5+22800</f>
        <v>34200</v>
      </c>
      <c r="D15" s="320">
        <f>'Measure and Costs Assumptions'!C13*'Measure and Costs Assumptions'!$C$7</f>
        <v>145000</v>
      </c>
      <c r="E15" s="320">
        <v>0</v>
      </c>
      <c r="F15" s="320">
        <f t="shared" ref="F15:F19" si="2">SUM(C15:E15)</f>
        <v>179200</v>
      </c>
      <c r="G15" s="320">
        <f>'Measure and Costs Assumptions'!C13*'Measure and Costs Assumptions'!$C$8</f>
        <v>2100</v>
      </c>
      <c r="H15" s="321"/>
      <c r="I15" s="322">
        <f t="shared" ref="I15:I18" si="3">1-SUM(J15:K15)</f>
        <v>1</v>
      </c>
      <c r="J15" s="322">
        <v>0</v>
      </c>
      <c r="K15" s="322">
        <v>0</v>
      </c>
      <c r="L15" s="323" t="str">
        <f>"Assumes development of "&amp;'Measure and Costs Assumptions'!C13&amp;" measures. Added budget for external modelling support."</f>
        <v>Assumes development of 2 measures. Added budget for external modelling support.</v>
      </c>
    </row>
    <row r="16" spans="1:52" s="296" customFormat="1" x14ac:dyDescent="0.3">
      <c r="A16" s="319" t="s">
        <v>499</v>
      </c>
      <c r="B16" s="319" t="s">
        <v>393</v>
      </c>
      <c r="C16" s="324">
        <f>'Measure and Costs Assumptions'!C14*'Measure and Costs Assumptions'!$C$5</f>
        <v>11400</v>
      </c>
      <c r="D16" s="320">
        <f>'Measure and Costs Assumptions'!C14*'Measure and Costs Assumptions'!$C$7</f>
        <v>145000</v>
      </c>
      <c r="E16" s="320">
        <v>0</v>
      </c>
      <c r="F16" s="320">
        <f t="shared" si="2"/>
        <v>156400</v>
      </c>
      <c r="G16" s="320">
        <f>'Measure and Costs Assumptions'!C14*'Measure and Costs Assumptions'!$C$8</f>
        <v>2100</v>
      </c>
      <c r="H16" s="321"/>
      <c r="I16" s="322">
        <f t="shared" si="3"/>
        <v>0.75</v>
      </c>
      <c r="J16" s="322">
        <v>0</v>
      </c>
      <c r="K16" s="322">
        <v>0.25</v>
      </c>
      <c r="L16" s="323" t="str">
        <f>"Assumes development of "&amp; 'Measure and Costs Assumptions'!C14 &amp;" measures"</f>
        <v>Assumes development of 2 measures</v>
      </c>
    </row>
    <row r="17" spans="1:12" s="296" customFormat="1" x14ac:dyDescent="0.3">
      <c r="A17" s="319" t="s">
        <v>500</v>
      </c>
      <c r="B17" s="319" t="s">
        <v>394</v>
      </c>
      <c r="C17" s="324">
        <f>'Measure and Costs Assumptions'!C15*'Measure and Costs Assumptions'!$C$5</f>
        <v>0</v>
      </c>
      <c r="D17" s="320">
        <f>'Measure and Costs Assumptions'!C15*'Measure and Costs Assumptions'!$C$7</f>
        <v>0</v>
      </c>
      <c r="E17" s="320">
        <v>0</v>
      </c>
      <c r="F17" s="320">
        <f t="shared" si="2"/>
        <v>0</v>
      </c>
      <c r="G17" s="320">
        <f>'Measure and Costs Assumptions'!C15*'Measure and Costs Assumptions'!$C$8</f>
        <v>0</v>
      </c>
      <c r="H17" s="321"/>
      <c r="I17" s="322">
        <f t="shared" si="3"/>
        <v>0.75</v>
      </c>
      <c r="J17" s="322">
        <v>0.25</v>
      </c>
      <c r="K17" s="322">
        <v>0</v>
      </c>
      <c r="L17" s="323" t="str">
        <f>"Assumes development of "&amp; 'Measure and Costs Assumptions'!C15 &amp;" measures"</f>
        <v>Assumes development of 0 measures</v>
      </c>
    </row>
    <row r="18" spans="1:12" s="296" customFormat="1" x14ac:dyDescent="0.3">
      <c r="A18" s="319" t="s">
        <v>501</v>
      </c>
      <c r="B18" s="319" t="s">
        <v>395</v>
      </c>
      <c r="C18" s="324">
        <f>'Measure and Costs Assumptions'!C16*'Measure and Costs Assumptions'!$C$5</f>
        <v>5700</v>
      </c>
      <c r="D18" s="320">
        <f>'Measure and Costs Assumptions'!C16*'Measure and Costs Assumptions'!$C$7</f>
        <v>72500</v>
      </c>
      <c r="E18" s="320">
        <v>0</v>
      </c>
      <c r="F18" s="320">
        <f t="shared" si="2"/>
        <v>78200</v>
      </c>
      <c r="G18" s="320">
        <f>'Measure and Costs Assumptions'!C16*'Measure and Costs Assumptions'!$C$8</f>
        <v>1050</v>
      </c>
      <c r="H18" s="321"/>
      <c r="I18" s="322">
        <f t="shared" si="3"/>
        <v>0</v>
      </c>
      <c r="J18" s="322">
        <v>1</v>
      </c>
      <c r="K18" s="322">
        <v>0</v>
      </c>
      <c r="L18" s="323" t="str">
        <f>"Assumes development of "&amp; 'Measure and Costs Assumptions'!C16 &amp;" measures"</f>
        <v>Assumes development of 1 measures</v>
      </c>
    </row>
    <row r="19" spans="1:12" s="296" customFormat="1" x14ac:dyDescent="0.3">
      <c r="A19" s="319" t="s">
        <v>502</v>
      </c>
      <c r="B19" s="319" t="s">
        <v>396</v>
      </c>
      <c r="C19" s="324">
        <f>'Measure and Costs Assumptions'!C17*'Measure and Costs Assumptions'!$C$5</f>
        <v>0</v>
      </c>
      <c r="D19" s="320">
        <f>'Measure and Costs Assumptions'!C17*'Measure and Costs Assumptions'!$C$7</f>
        <v>0</v>
      </c>
      <c r="E19" s="320">
        <v>0</v>
      </c>
      <c r="F19" s="320">
        <f t="shared" si="2"/>
        <v>0</v>
      </c>
      <c r="G19" s="320">
        <f>'Measure and Costs Assumptions'!C17*'Measure and Costs Assumptions'!$C$8</f>
        <v>0</v>
      </c>
      <c r="H19" s="321"/>
      <c r="I19" s="322">
        <f>1-SUM(J19:K19)</f>
        <v>0.75</v>
      </c>
      <c r="J19" s="322">
        <v>0.25</v>
      </c>
      <c r="K19" s="322">
        <v>0</v>
      </c>
      <c r="L19" s="323" t="str">
        <f>"Assumes update of "&amp; 'Measure and Costs Assumptions'!C17 &amp;" impact evaluation guidance"</f>
        <v>Assumes update of 0 impact evaluation guidance</v>
      </c>
    </row>
    <row r="20" spans="1:12" s="296" customFormat="1" x14ac:dyDescent="0.3">
      <c r="A20" s="313">
        <v>3</v>
      </c>
      <c r="B20" s="313" t="s">
        <v>10</v>
      </c>
      <c r="C20" s="314">
        <f>SUM(C21:C23)</f>
        <v>5000</v>
      </c>
      <c r="D20" s="315">
        <f>SUM(D21:D23)</f>
        <v>191000</v>
      </c>
      <c r="E20" s="315">
        <f>SUM(E21:E23)</f>
        <v>0</v>
      </c>
      <c r="F20" s="315">
        <f>SUM(F21:F23)</f>
        <v>196000</v>
      </c>
      <c r="G20" s="315">
        <f>SUM(G21:G23)</f>
        <v>5000</v>
      </c>
      <c r="H20" s="316">
        <f>F20/$F$54</f>
        <v>8.9904132837943213E-2</v>
      </c>
      <c r="I20" s="316"/>
      <c r="J20" s="326"/>
      <c r="K20" s="326"/>
      <c r="L20" s="327"/>
    </row>
    <row r="21" spans="1:12" s="296" customFormat="1" x14ac:dyDescent="0.3">
      <c r="A21" s="319" t="s">
        <v>503</v>
      </c>
      <c r="B21" s="319" t="s">
        <v>397</v>
      </c>
      <c r="C21" s="324">
        <v>5000</v>
      </c>
      <c r="D21" s="320">
        <v>0</v>
      </c>
      <c r="E21" s="320">
        <v>0</v>
      </c>
      <c r="F21" s="320">
        <f>SUM(C21:E21)</f>
        <v>5000</v>
      </c>
      <c r="G21" s="320">
        <v>0</v>
      </c>
      <c r="H21" s="321"/>
      <c r="I21" s="322">
        <f>1-SUM(J21:K21)</f>
        <v>0.75</v>
      </c>
      <c r="J21" s="322">
        <v>0.25</v>
      </c>
      <c r="K21" s="322">
        <v>0</v>
      </c>
      <c r="L21" s="323" t="s">
        <v>562</v>
      </c>
    </row>
    <row r="22" spans="1:12" s="296" customFormat="1" x14ac:dyDescent="0.3">
      <c r="A22" s="319" t="s">
        <v>504</v>
      </c>
      <c r="B22" s="319" t="s">
        <v>398</v>
      </c>
      <c r="C22" s="324">
        <v>0</v>
      </c>
      <c r="D22" s="320">
        <v>0</v>
      </c>
      <c r="E22" s="320">
        <v>0</v>
      </c>
      <c r="F22" s="320">
        <f>SUM(C22:E22)</f>
        <v>0</v>
      </c>
      <c r="G22" s="320">
        <v>0</v>
      </c>
      <c r="H22" s="321"/>
      <c r="I22" s="322">
        <f t="shared" ref="I22:I23" si="4">1-SUM(J22:K22)</f>
        <v>0.75</v>
      </c>
      <c r="J22" s="322">
        <v>0.25</v>
      </c>
      <c r="K22" s="322">
        <v>0</v>
      </c>
      <c r="L22" s="323" t="s">
        <v>563</v>
      </c>
    </row>
    <row r="23" spans="1:12" s="296" customFormat="1" x14ac:dyDescent="0.3">
      <c r="A23" s="319" t="s">
        <v>505</v>
      </c>
      <c r="B23" s="319" t="s">
        <v>399</v>
      </c>
      <c r="C23" s="324">
        <v>0</v>
      </c>
      <c r="D23" s="320">
        <v>191000</v>
      </c>
      <c r="E23" s="320">
        <v>0</v>
      </c>
      <c r="F23" s="320">
        <f>SUM(C23:E23)</f>
        <v>191000</v>
      </c>
      <c r="G23" s="320">
        <v>5000</v>
      </c>
      <c r="H23" s="321"/>
      <c r="I23" s="322">
        <f t="shared" si="4"/>
        <v>0.75</v>
      </c>
      <c r="J23" s="322">
        <v>0.25</v>
      </c>
      <c r="K23" s="322">
        <v>0</v>
      </c>
      <c r="L23" s="323" t="s">
        <v>641</v>
      </c>
    </row>
    <row r="24" spans="1:12" s="296" customFormat="1" x14ac:dyDescent="0.3">
      <c r="A24" s="328">
        <v>4</v>
      </c>
      <c r="B24" s="328" t="s">
        <v>11</v>
      </c>
      <c r="C24" s="329">
        <f>SUM(C25:C27)</f>
        <v>8750</v>
      </c>
      <c r="D24" s="330">
        <f>SUM(D25:D27)</f>
        <v>70000</v>
      </c>
      <c r="E24" s="330">
        <f>SUM(E25:E27)</f>
        <v>0</v>
      </c>
      <c r="F24" s="330">
        <f>SUM(F25:F27)</f>
        <v>78750</v>
      </c>
      <c r="G24" s="330">
        <f t="shared" ref="G24" si="5">SUM(G25:G27)</f>
        <v>29160</v>
      </c>
      <c r="H24" s="331">
        <f>F24/$F$54</f>
        <v>3.6122196229530758E-2</v>
      </c>
      <c r="I24" s="331"/>
      <c r="J24" s="332"/>
      <c r="K24" s="332"/>
      <c r="L24" s="333"/>
    </row>
    <row r="25" spans="1:12" s="296" customFormat="1" x14ac:dyDescent="0.3">
      <c r="A25" s="334" t="s">
        <v>506</v>
      </c>
      <c r="B25" s="334" t="s">
        <v>401</v>
      </c>
      <c r="C25" s="335">
        <v>0</v>
      </c>
      <c r="D25" s="336">
        <v>5000</v>
      </c>
      <c r="E25" s="336">
        <v>0</v>
      </c>
      <c r="F25" s="336">
        <f>SUM(C25:E25)</f>
        <v>5000</v>
      </c>
      <c r="G25" s="336">
        <v>5250</v>
      </c>
      <c r="H25" s="337"/>
      <c r="I25" s="338">
        <f>1-SUM(J25:K25)</f>
        <v>0.75</v>
      </c>
      <c r="J25" s="338">
        <v>0.25</v>
      </c>
      <c r="K25" s="338">
        <v>0</v>
      </c>
      <c r="L25" s="339" t="s">
        <v>488</v>
      </c>
    </row>
    <row r="26" spans="1:12" s="296" customFormat="1" x14ac:dyDescent="0.3">
      <c r="A26" s="334" t="s">
        <v>508</v>
      </c>
      <c r="B26" s="334" t="s">
        <v>402</v>
      </c>
      <c r="C26" s="335">
        <v>0</v>
      </c>
      <c r="D26" s="336">
        <v>60000</v>
      </c>
      <c r="E26" s="336">
        <v>0</v>
      </c>
      <c r="F26" s="336">
        <f t="shared" ref="F26:F27" si="6">SUM(C26:E26)</f>
        <v>60000</v>
      </c>
      <c r="G26" s="336">
        <v>18910</v>
      </c>
      <c r="H26" s="337"/>
      <c r="I26" s="338">
        <f>1-SUM(J26:K26)</f>
        <v>0.75</v>
      </c>
      <c r="J26" s="338">
        <v>0.25</v>
      </c>
      <c r="K26" s="338">
        <v>0</v>
      </c>
      <c r="L26" s="339" t="s">
        <v>577</v>
      </c>
    </row>
    <row r="27" spans="1:12" s="296" customFormat="1" x14ac:dyDescent="0.3">
      <c r="A27" s="334" t="s">
        <v>507</v>
      </c>
      <c r="B27" s="334" t="s">
        <v>403</v>
      </c>
      <c r="C27" s="335">
        <v>8750</v>
      </c>
      <c r="D27" s="336">
        <v>5000</v>
      </c>
      <c r="E27" s="336">
        <v>0</v>
      </c>
      <c r="F27" s="336">
        <f t="shared" si="6"/>
        <v>13750</v>
      </c>
      <c r="G27" s="336">
        <v>5000</v>
      </c>
      <c r="H27" s="337"/>
      <c r="I27" s="338">
        <f t="shared" ref="I27:I53" si="7">1-SUM(J27:K27)</f>
        <v>0.75</v>
      </c>
      <c r="J27" s="338">
        <v>0.25</v>
      </c>
      <c r="K27" s="338">
        <v>0</v>
      </c>
      <c r="L27" s="339" t="s">
        <v>602</v>
      </c>
    </row>
    <row r="28" spans="1:12" s="296" customFormat="1" x14ac:dyDescent="0.3">
      <c r="A28" s="328">
        <v>5</v>
      </c>
      <c r="B28" s="328" t="s">
        <v>404</v>
      </c>
      <c r="C28" s="329">
        <f>SUM(C29:C32)</f>
        <v>0</v>
      </c>
      <c r="D28" s="330">
        <f>SUM(D29:D32)</f>
        <v>91900</v>
      </c>
      <c r="E28" s="330">
        <f>SUM(E29:E32)</f>
        <v>0</v>
      </c>
      <c r="F28" s="330">
        <f>SUM(F29:F32)</f>
        <v>91900</v>
      </c>
      <c r="G28" s="330">
        <f>SUM(G29:G32)</f>
        <v>30150</v>
      </c>
      <c r="H28" s="331">
        <f>F28/$F$54</f>
        <v>4.2154029631668269E-2</v>
      </c>
      <c r="I28" s="331"/>
      <c r="J28" s="332"/>
      <c r="K28" s="332"/>
      <c r="L28" s="333"/>
    </row>
    <row r="29" spans="1:12" s="296" customFormat="1" x14ac:dyDescent="0.3">
      <c r="A29" s="334" t="s">
        <v>509</v>
      </c>
      <c r="B29" s="334" t="s">
        <v>626</v>
      </c>
      <c r="C29" s="335">
        <v>0</v>
      </c>
      <c r="D29" s="336">
        <v>50000</v>
      </c>
      <c r="E29" s="336">
        <v>0</v>
      </c>
      <c r="F29" s="336">
        <f t="shared" ref="F29:F32" si="8">SUM(C29:E29)</f>
        <v>50000</v>
      </c>
      <c r="G29" s="336">
        <v>4000</v>
      </c>
      <c r="H29" s="337"/>
      <c r="I29" s="338">
        <f t="shared" si="7"/>
        <v>1</v>
      </c>
      <c r="J29" s="338">
        <v>0</v>
      </c>
      <c r="K29" s="338">
        <v>0</v>
      </c>
      <c r="L29" s="339" t="s">
        <v>627</v>
      </c>
    </row>
    <row r="30" spans="1:12" s="296" customFormat="1" x14ac:dyDescent="0.3">
      <c r="A30" s="334" t="s">
        <v>510</v>
      </c>
      <c r="B30" s="334" t="s">
        <v>405</v>
      </c>
      <c r="C30" s="335">
        <v>0</v>
      </c>
      <c r="D30" s="336">
        <v>5000</v>
      </c>
      <c r="E30" s="336">
        <v>0</v>
      </c>
      <c r="F30" s="336">
        <f t="shared" si="8"/>
        <v>5000</v>
      </c>
      <c r="G30" s="336">
        <v>150</v>
      </c>
      <c r="H30" s="337"/>
      <c r="I30" s="338">
        <f t="shared" si="7"/>
        <v>1</v>
      </c>
      <c r="J30" s="338">
        <v>0</v>
      </c>
      <c r="K30" s="338">
        <v>0</v>
      </c>
      <c r="L30" s="339" t="s">
        <v>440</v>
      </c>
    </row>
    <row r="31" spans="1:12" s="296" customFormat="1" x14ac:dyDescent="0.3">
      <c r="A31" s="334" t="s">
        <v>511</v>
      </c>
      <c r="B31" s="334" t="s">
        <v>406</v>
      </c>
      <c r="C31" s="335">
        <v>0</v>
      </c>
      <c r="D31" s="336">
        <v>0</v>
      </c>
      <c r="E31" s="336">
        <v>0</v>
      </c>
      <c r="F31" s="336">
        <f>SUM(C31:E31)</f>
        <v>0</v>
      </c>
      <c r="G31" s="336">
        <v>0</v>
      </c>
      <c r="H31" s="337"/>
      <c r="I31" s="338">
        <f t="shared" si="7"/>
        <v>1</v>
      </c>
      <c r="J31" s="338">
        <v>0</v>
      </c>
      <c r="K31" s="338">
        <v>0</v>
      </c>
      <c r="L31" s="339" t="s">
        <v>573</v>
      </c>
    </row>
    <row r="32" spans="1:12" s="296" customFormat="1" x14ac:dyDescent="0.3">
      <c r="A32" s="334" t="s">
        <v>512</v>
      </c>
      <c r="B32" s="334" t="s">
        <v>407</v>
      </c>
      <c r="C32" s="335">
        <v>0</v>
      </c>
      <c r="D32" s="336">
        <v>36900</v>
      </c>
      <c r="E32" s="336">
        <v>0</v>
      </c>
      <c r="F32" s="336">
        <f t="shared" si="8"/>
        <v>36900</v>
      </c>
      <c r="G32" s="336">
        <v>26000</v>
      </c>
      <c r="H32" s="337"/>
      <c r="I32" s="338">
        <f t="shared" si="7"/>
        <v>0.75</v>
      </c>
      <c r="J32" s="338">
        <v>0.25</v>
      </c>
      <c r="K32" s="338">
        <v>0</v>
      </c>
      <c r="L32" s="339" t="s">
        <v>575</v>
      </c>
    </row>
    <row r="33" spans="1:12" s="296" customFormat="1" x14ac:dyDescent="0.3">
      <c r="A33" s="340">
        <v>6</v>
      </c>
      <c r="B33" s="340" t="s">
        <v>13</v>
      </c>
      <c r="C33" s="341">
        <f>SUM(C34:C37)</f>
        <v>5700</v>
      </c>
      <c r="D33" s="342">
        <f>SUM(D34:D37)</f>
        <v>78250</v>
      </c>
      <c r="E33" s="342">
        <f>SUM(E34:E37)</f>
        <v>0</v>
      </c>
      <c r="F33" s="342">
        <f>SUM(F34:F37)</f>
        <v>83950</v>
      </c>
      <c r="G33" s="342">
        <f>SUM(G34:G37)</f>
        <v>21680</v>
      </c>
      <c r="H33" s="343">
        <f>F33/$F$54</f>
        <v>3.8507407917068026E-2</v>
      </c>
      <c r="I33" s="343"/>
      <c r="J33" s="344"/>
      <c r="K33" s="344"/>
      <c r="L33" s="345"/>
    </row>
    <row r="34" spans="1:12" s="296" customFormat="1" x14ac:dyDescent="0.3">
      <c r="A34" s="346" t="s">
        <v>515</v>
      </c>
      <c r="B34" s="346" t="s">
        <v>408</v>
      </c>
      <c r="C34" s="347">
        <f>('Measure and Costs Assumptions'!C18*'Measure and Costs Assumptions'!C5)/2</f>
        <v>2850</v>
      </c>
      <c r="D34" s="348">
        <f>('Measure and Costs Assumptions'!C18*'Measure and Costs Assumptions'!C7/2)</f>
        <v>36250</v>
      </c>
      <c r="E34" s="348">
        <v>0</v>
      </c>
      <c r="F34" s="348">
        <f>SUM(C34:E34)</f>
        <v>39100</v>
      </c>
      <c r="G34" s="348">
        <f>'Measure and Costs Assumptions'!C18*'Measure and Costs Assumptions'!C8</f>
        <v>1050</v>
      </c>
      <c r="H34" s="349"/>
      <c r="I34" s="350">
        <f t="shared" si="7"/>
        <v>0</v>
      </c>
      <c r="J34" s="350">
        <v>0</v>
      </c>
      <c r="K34" s="350">
        <v>1</v>
      </c>
      <c r="L34" s="351" t="str">
        <f>"Assumes development of "&amp; 'Measure and Costs Assumptions'!C18 &amp;" product"</f>
        <v>Assumes development of 1 product</v>
      </c>
    </row>
    <row r="35" spans="1:12" s="296" customFormat="1" x14ac:dyDescent="0.3">
      <c r="A35" s="346" t="s">
        <v>516</v>
      </c>
      <c r="B35" s="346" t="s">
        <v>409</v>
      </c>
      <c r="C35" s="347">
        <f>('Measure and Costs Assumptions'!C26*'Measure and Costs Assumptions'!C5)/2</f>
        <v>2850</v>
      </c>
      <c r="D35" s="348">
        <f>'Measure and Costs Assumptions'!C26*'Measure and Costs Assumptions'!C6</f>
        <v>17100</v>
      </c>
      <c r="E35" s="348">
        <v>0</v>
      </c>
      <c r="F35" s="348">
        <f>SUM(C35:E35)</f>
        <v>19950</v>
      </c>
      <c r="G35" s="348">
        <f>'Measure and Costs Assumptions'!C26*'Measure and Costs Assumptions'!C8</f>
        <v>1050</v>
      </c>
      <c r="H35" s="349"/>
      <c r="I35" s="350">
        <f t="shared" si="7"/>
        <v>0</v>
      </c>
      <c r="J35" s="350">
        <v>0</v>
      </c>
      <c r="K35" s="350">
        <v>1</v>
      </c>
      <c r="L35" s="351" t="str">
        <f>"Assumes update of "&amp; 'Measure and Costs Assumptions'!C26 &amp;" products"</f>
        <v>Assumes update of 1 products</v>
      </c>
    </row>
    <row r="36" spans="1:12" s="296" customFormat="1" x14ac:dyDescent="0.3">
      <c r="A36" s="346" t="s">
        <v>517</v>
      </c>
      <c r="B36" s="346" t="s">
        <v>11</v>
      </c>
      <c r="C36" s="347">
        <v>0</v>
      </c>
      <c r="D36" s="348">
        <v>15000</v>
      </c>
      <c r="E36" s="348">
        <v>0</v>
      </c>
      <c r="F36" s="348">
        <f>SUM(C36:E36)</f>
        <v>15000</v>
      </c>
      <c r="G36" s="348">
        <v>6580</v>
      </c>
      <c r="H36" s="349"/>
      <c r="I36" s="350">
        <v>0</v>
      </c>
      <c r="J36" s="350">
        <v>0</v>
      </c>
      <c r="K36" s="350">
        <v>1</v>
      </c>
      <c r="L36" s="351" t="s">
        <v>410</v>
      </c>
    </row>
    <row r="37" spans="1:12" s="296" customFormat="1" x14ac:dyDescent="0.3">
      <c r="A37" s="346" t="s">
        <v>518</v>
      </c>
      <c r="B37" s="346" t="s">
        <v>411</v>
      </c>
      <c r="C37" s="347">
        <v>0</v>
      </c>
      <c r="D37" s="348">
        <v>9900</v>
      </c>
      <c r="E37" s="348">
        <v>0</v>
      </c>
      <c r="F37" s="348">
        <f>SUM(C37:E37)</f>
        <v>9900</v>
      </c>
      <c r="G37" s="348">
        <v>13000</v>
      </c>
      <c r="H37" s="349"/>
      <c r="I37" s="350">
        <f t="shared" si="7"/>
        <v>0</v>
      </c>
      <c r="J37" s="350">
        <v>0</v>
      </c>
      <c r="K37" s="350">
        <v>1</v>
      </c>
      <c r="L37" s="351" t="s">
        <v>576</v>
      </c>
    </row>
    <row r="38" spans="1:12" s="296" customFormat="1" x14ac:dyDescent="0.3">
      <c r="A38" s="340">
        <v>7</v>
      </c>
      <c r="B38" s="340" t="s">
        <v>41</v>
      </c>
      <c r="C38" s="341">
        <f>SUM(C39:C39)</f>
        <v>41800</v>
      </c>
      <c r="D38" s="342">
        <f>SUM(D39:D39)</f>
        <v>10000</v>
      </c>
      <c r="E38" s="342">
        <f>SUM(E39:E39)</f>
        <v>0</v>
      </c>
      <c r="F38" s="342">
        <f>SUM(F39:F39)</f>
        <v>51800</v>
      </c>
      <c r="G38" s="342">
        <f>SUM(G39:G39)</f>
        <v>0</v>
      </c>
      <c r="H38" s="343">
        <f>F38/$F$54</f>
        <v>2.3760377964313562E-2</v>
      </c>
      <c r="I38" s="343">
        <f t="shared" si="7"/>
        <v>1</v>
      </c>
      <c r="J38" s="344"/>
      <c r="K38" s="344"/>
      <c r="L38" s="345"/>
    </row>
    <row r="39" spans="1:12" s="296" customFormat="1" x14ac:dyDescent="0.3">
      <c r="A39" s="346" t="s">
        <v>632</v>
      </c>
      <c r="B39" s="346" t="s">
        <v>633</v>
      </c>
      <c r="C39" s="347">
        <v>41800</v>
      </c>
      <c r="D39" s="348">
        <v>10000</v>
      </c>
      <c r="E39" s="348">
        <v>0</v>
      </c>
      <c r="F39" s="348">
        <f>SUM(C39:E39)</f>
        <v>51800</v>
      </c>
      <c r="G39" s="348">
        <v>0</v>
      </c>
      <c r="H39" s="349"/>
      <c r="I39" s="350">
        <f t="shared" si="7"/>
        <v>0.75</v>
      </c>
      <c r="J39" s="350">
        <v>0.25</v>
      </c>
      <c r="K39" s="350">
        <v>0</v>
      </c>
      <c r="L39" s="351" t="s">
        <v>634</v>
      </c>
    </row>
    <row r="40" spans="1:12" s="296" customFormat="1" x14ac:dyDescent="0.3">
      <c r="A40" s="352">
        <v>8</v>
      </c>
      <c r="B40" s="352" t="s">
        <v>414</v>
      </c>
      <c r="C40" s="353">
        <f>SUM(C41:C42)</f>
        <v>61240</v>
      </c>
      <c r="D40" s="354">
        <f>SUM(D41:D42)</f>
        <v>0</v>
      </c>
      <c r="E40" s="354">
        <f>SUM(E41:E42)</f>
        <v>0</v>
      </c>
      <c r="F40" s="354">
        <f>SUM(F41:F42)</f>
        <v>61240</v>
      </c>
      <c r="G40" s="354">
        <f>SUM(G41:G42)</f>
        <v>29000</v>
      </c>
      <c r="H40" s="355">
        <f>F40/$F$54</f>
        <v>2.8090454566304299E-2</v>
      </c>
      <c r="I40" s="355"/>
      <c r="J40" s="356"/>
      <c r="K40" s="356"/>
      <c r="L40" s="357"/>
    </row>
    <row r="41" spans="1:12" s="296" customFormat="1" x14ac:dyDescent="0.3">
      <c r="A41" s="358" t="s">
        <v>519</v>
      </c>
      <c r="B41" s="358" t="s">
        <v>415</v>
      </c>
      <c r="C41" s="359">
        <v>900</v>
      </c>
      <c r="D41" s="360">
        <v>0</v>
      </c>
      <c r="E41" s="360">
        <v>0</v>
      </c>
      <c r="F41" s="360">
        <f>SUM(C41:E41)</f>
        <v>900</v>
      </c>
      <c r="G41" s="360">
        <v>15000</v>
      </c>
      <c r="H41" s="361"/>
      <c r="I41" s="362">
        <f>1-SUM(J41:K41)</f>
        <v>0.75</v>
      </c>
      <c r="J41" s="362">
        <v>0.25</v>
      </c>
      <c r="K41" s="362">
        <v>0</v>
      </c>
      <c r="L41" s="363" t="s">
        <v>607</v>
      </c>
    </row>
    <row r="42" spans="1:12" s="296" customFormat="1" x14ac:dyDescent="0.3">
      <c r="A42" s="358" t="s">
        <v>520</v>
      </c>
      <c r="B42" s="358" t="s">
        <v>416</v>
      </c>
      <c r="C42" s="359">
        <f>61100-760</f>
        <v>60340</v>
      </c>
      <c r="D42" s="360">
        <v>0</v>
      </c>
      <c r="E42" s="360">
        <v>0</v>
      </c>
      <c r="F42" s="360">
        <f>SUM(C42:E42)</f>
        <v>60340</v>
      </c>
      <c r="G42" s="360">
        <v>14000</v>
      </c>
      <c r="H42" s="361"/>
      <c r="I42" s="362">
        <f>1-SUM(J42:K42)</f>
        <v>1</v>
      </c>
      <c r="J42" s="362">
        <v>0</v>
      </c>
      <c r="K42" s="362">
        <v>0</v>
      </c>
      <c r="L42" s="363" t="s">
        <v>417</v>
      </c>
    </row>
    <row r="43" spans="1:12" s="296" customFormat="1" x14ac:dyDescent="0.3">
      <c r="A43" s="352">
        <v>9</v>
      </c>
      <c r="B43" s="352" t="s">
        <v>412</v>
      </c>
      <c r="C43" s="353">
        <f>SUM(C44:C45)</f>
        <v>133660</v>
      </c>
      <c r="D43" s="354">
        <f>SUM(D44:D45)</f>
        <v>168900</v>
      </c>
      <c r="E43" s="354">
        <f>SUM(E44:E45)</f>
        <v>0</v>
      </c>
      <c r="F43" s="354">
        <f>SUM(F44:F45)</f>
        <v>302560</v>
      </c>
      <c r="G43" s="354">
        <f>SUM(G44:G45)</f>
        <v>15000</v>
      </c>
      <c r="H43" s="355">
        <f>F43/$F$54</f>
        <v>0.13878262465024541</v>
      </c>
      <c r="I43" s="355"/>
      <c r="J43" s="356"/>
      <c r="K43" s="356"/>
      <c r="L43" s="357"/>
    </row>
    <row r="44" spans="1:12" s="296" customFormat="1" x14ac:dyDescent="0.3">
      <c r="A44" s="358" t="s">
        <v>521</v>
      </c>
      <c r="B44" s="358" t="s">
        <v>413</v>
      </c>
      <c r="C44" s="359">
        <f>'Measure and Costs Assumptions'!J16+'Measure and Costs Assumptions'!J17</f>
        <v>33660</v>
      </c>
      <c r="D44" s="360">
        <v>0</v>
      </c>
      <c r="E44" s="360">
        <v>0</v>
      </c>
      <c r="F44" s="360">
        <f>SUM(C44:E44)</f>
        <v>33660</v>
      </c>
      <c r="G44" s="360">
        <v>15000</v>
      </c>
      <c r="H44" s="361"/>
      <c r="I44" s="362">
        <f t="shared" si="7"/>
        <v>0.75</v>
      </c>
      <c r="J44" s="362">
        <v>0.25</v>
      </c>
      <c r="K44" s="362">
        <v>0</v>
      </c>
      <c r="L44" s="363" t="str">
        <f>"Assumes costs for minutes at all RTF and RTF PAC meetings and lunches for "&amp; 'Measure and Costs Assumptions'!J15 &amp;" in person meetings"</f>
        <v>Assumes costs for minutes at all RTF and RTF PAC meetings and lunches for 8 in person meetings</v>
      </c>
    </row>
    <row r="45" spans="1:12" s="296" customFormat="1" x14ac:dyDescent="0.3">
      <c r="A45" s="358" t="s">
        <v>522</v>
      </c>
      <c r="B45" s="358" t="s">
        <v>523</v>
      </c>
      <c r="C45" s="359">
        <v>100000</v>
      </c>
      <c r="D45" s="360">
        <v>168900</v>
      </c>
      <c r="E45" s="360">
        <v>0</v>
      </c>
      <c r="F45" s="360">
        <f>SUM(C45:E45)</f>
        <v>268900</v>
      </c>
      <c r="G45" s="360">
        <v>0</v>
      </c>
      <c r="H45" s="361"/>
      <c r="I45" s="362">
        <f t="shared" si="7"/>
        <v>0.75</v>
      </c>
      <c r="J45" s="362">
        <v>0.25</v>
      </c>
      <c r="K45" s="362">
        <v>0</v>
      </c>
      <c r="L45" s="363" t="s">
        <v>574</v>
      </c>
    </row>
    <row r="46" spans="1:12" s="296" customFormat="1" x14ac:dyDescent="0.3">
      <c r="A46" s="352">
        <v>10</v>
      </c>
      <c r="B46" s="352" t="s">
        <v>15</v>
      </c>
      <c r="C46" s="353">
        <f>SUM(C47:C53)</f>
        <v>7500</v>
      </c>
      <c r="D46" s="354">
        <f>SUM(D47:D53)</f>
        <v>5000</v>
      </c>
      <c r="E46" s="354">
        <f>SUM(E47:E53)</f>
        <v>171000</v>
      </c>
      <c r="F46" s="354">
        <f>SUM(F47:F53)</f>
        <v>183500</v>
      </c>
      <c r="G46" s="354">
        <f>SUM(G47:G53)</f>
        <v>39310</v>
      </c>
      <c r="H46" s="355">
        <f>F46/$F$54</f>
        <v>8.417045089674785E-2</v>
      </c>
      <c r="I46" s="355"/>
      <c r="J46" s="356"/>
      <c r="K46" s="356"/>
      <c r="L46" s="357"/>
    </row>
    <row r="47" spans="1:12" s="296" customFormat="1" x14ac:dyDescent="0.3">
      <c r="A47" s="358" t="s">
        <v>524</v>
      </c>
      <c r="B47" s="358" t="s">
        <v>418</v>
      </c>
      <c r="C47" s="359">
        <v>0</v>
      </c>
      <c r="D47" s="360">
        <v>0</v>
      </c>
      <c r="E47" s="360">
        <f>'NWPCC In Kind'!$F$22*'Measure and Costs Assumptions'!Q5</f>
        <v>33400</v>
      </c>
      <c r="F47" s="360">
        <f>SUM(C47:E47)</f>
        <v>33400</v>
      </c>
      <c r="G47" s="360">
        <v>8810</v>
      </c>
      <c r="H47" s="361"/>
      <c r="I47" s="362">
        <f t="shared" si="7"/>
        <v>0.75</v>
      </c>
      <c r="J47" s="362">
        <v>0.25</v>
      </c>
      <c r="K47" s="362">
        <v>0</v>
      </c>
      <c r="L47" s="363" t="s">
        <v>419</v>
      </c>
    </row>
    <row r="48" spans="1:12" s="296" customFormat="1" x14ac:dyDescent="0.3">
      <c r="A48" s="358" t="s">
        <v>524</v>
      </c>
      <c r="B48" s="358" t="s">
        <v>420</v>
      </c>
      <c r="C48" s="359">
        <v>0</v>
      </c>
      <c r="D48" s="360">
        <v>0</v>
      </c>
      <c r="E48" s="360">
        <f>'NWPCC In Kind'!$F$22*'Measure and Costs Assumptions'!Q6</f>
        <v>50100</v>
      </c>
      <c r="F48" s="360">
        <f t="shared" ref="F48:F51" si="9">SUM(C48:E48)</f>
        <v>50100</v>
      </c>
      <c r="G48" s="360">
        <v>5500</v>
      </c>
      <c r="H48" s="361"/>
      <c r="I48" s="362">
        <f t="shared" si="7"/>
        <v>0.75</v>
      </c>
      <c r="J48" s="362">
        <v>0.25</v>
      </c>
      <c r="K48" s="362">
        <v>0</v>
      </c>
      <c r="L48" s="363" t="s">
        <v>421</v>
      </c>
    </row>
    <row r="49" spans="1:52" s="296" customFormat="1" x14ac:dyDescent="0.3">
      <c r="A49" s="358" t="s">
        <v>524</v>
      </c>
      <c r="B49" s="358" t="s">
        <v>422</v>
      </c>
      <c r="C49" s="359">
        <v>7500</v>
      </c>
      <c r="D49" s="360">
        <v>0</v>
      </c>
      <c r="E49" s="360">
        <f>'NWPCC In Kind'!$F$22*'Measure and Costs Assumptions'!Q7</f>
        <v>31730</v>
      </c>
      <c r="F49" s="360">
        <f t="shared" si="9"/>
        <v>39230</v>
      </c>
      <c r="G49" s="360">
        <v>10000</v>
      </c>
      <c r="H49" s="361"/>
      <c r="I49" s="362">
        <f t="shared" si="7"/>
        <v>0.75</v>
      </c>
      <c r="J49" s="362">
        <v>0.25</v>
      </c>
      <c r="K49" s="362">
        <v>0</v>
      </c>
      <c r="L49" s="363" t="s">
        <v>423</v>
      </c>
    </row>
    <row r="50" spans="1:52" s="296" customFormat="1" x14ac:dyDescent="0.3">
      <c r="A50" s="358" t="s">
        <v>524</v>
      </c>
      <c r="B50" s="358" t="s">
        <v>424</v>
      </c>
      <c r="C50" s="359">
        <v>0</v>
      </c>
      <c r="D50" s="360">
        <v>5000</v>
      </c>
      <c r="E50" s="360">
        <f>'NWPCC In Kind'!$F$22*'Measure and Costs Assumptions'!Q8</f>
        <v>16700</v>
      </c>
      <c r="F50" s="360">
        <f t="shared" si="9"/>
        <v>21700</v>
      </c>
      <c r="G50" s="360">
        <v>5000</v>
      </c>
      <c r="H50" s="361"/>
      <c r="I50" s="362">
        <f t="shared" si="7"/>
        <v>0.75</v>
      </c>
      <c r="J50" s="362">
        <v>0.25</v>
      </c>
      <c r="K50" s="362">
        <v>0</v>
      </c>
      <c r="L50" s="363" t="s">
        <v>425</v>
      </c>
    </row>
    <row r="51" spans="1:52" s="296" customFormat="1" x14ac:dyDescent="0.3">
      <c r="A51" s="358" t="s">
        <v>524</v>
      </c>
      <c r="B51" s="358" t="s">
        <v>426</v>
      </c>
      <c r="C51" s="359">
        <v>0</v>
      </c>
      <c r="D51" s="360">
        <v>0</v>
      </c>
      <c r="E51" s="360">
        <f>'NWPCC In Kind'!$F$22*'Measure and Costs Assumptions'!Q9</f>
        <v>33400</v>
      </c>
      <c r="F51" s="360">
        <f t="shared" si="9"/>
        <v>33400</v>
      </c>
      <c r="G51" s="360">
        <v>5000</v>
      </c>
      <c r="H51" s="361"/>
      <c r="I51" s="362">
        <f t="shared" si="7"/>
        <v>0.75</v>
      </c>
      <c r="J51" s="362">
        <v>0.25</v>
      </c>
      <c r="K51" s="362">
        <v>0</v>
      </c>
      <c r="L51" s="363" t="s">
        <v>427</v>
      </c>
    </row>
    <row r="52" spans="1:52" s="296" customFormat="1" x14ac:dyDescent="0.3">
      <c r="A52" s="358" t="s">
        <v>524</v>
      </c>
      <c r="B52" s="358" t="s">
        <v>428</v>
      </c>
      <c r="C52" s="359">
        <v>0</v>
      </c>
      <c r="D52" s="360">
        <v>0</v>
      </c>
      <c r="E52" s="360">
        <f>'NWPCC In Kind'!$F$22*'Measure and Costs Assumptions'!Q10</f>
        <v>1670</v>
      </c>
      <c r="F52" s="360">
        <f>SUM(C52:E52)</f>
        <v>1670</v>
      </c>
      <c r="G52" s="360">
        <v>5000</v>
      </c>
      <c r="H52" s="361"/>
      <c r="I52" s="362">
        <f t="shared" si="7"/>
        <v>0.75</v>
      </c>
      <c r="J52" s="362">
        <v>0.25</v>
      </c>
      <c r="K52" s="362">
        <v>0</v>
      </c>
      <c r="L52" s="363" t="s">
        <v>429</v>
      </c>
    </row>
    <row r="53" spans="1:52" s="296" customFormat="1" x14ac:dyDescent="0.3">
      <c r="A53" s="358" t="s">
        <v>524</v>
      </c>
      <c r="B53" s="358" t="s">
        <v>109</v>
      </c>
      <c r="C53" s="359">
        <v>0</v>
      </c>
      <c r="D53" s="360">
        <v>0</v>
      </c>
      <c r="E53" s="360">
        <v>4000</v>
      </c>
      <c r="F53" s="360">
        <f>SUM(C53:E53)</f>
        <v>4000</v>
      </c>
      <c r="G53" s="360">
        <v>0</v>
      </c>
      <c r="H53" s="361"/>
      <c r="I53" s="362">
        <f t="shared" si="7"/>
        <v>0.75</v>
      </c>
      <c r="J53" s="362">
        <v>0.25</v>
      </c>
      <c r="K53" s="362">
        <v>0</v>
      </c>
      <c r="L53" s="363" t="s">
        <v>430</v>
      </c>
    </row>
    <row r="54" spans="1:52" s="369" customFormat="1" ht="18" x14ac:dyDescent="0.35">
      <c r="A54" s="364"/>
      <c r="B54" s="364" t="s">
        <v>431</v>
      </c>
      <c r="C54" s="365">
        <f t="shared" ref="C54:H54" si="10">SUM(C7,C13,C20,C24,C28,C33,C38,C43,C40,C46)</f>
        <v>480250</v>
      </c>
      <c r="D54" s="366">
        <f t="shared" si="10"/>
        <v>1528850</v>
      </c>
      <c r="E54" s="366">
        <f t="shared" si="10"/>
        <v>171000</v>
      </c>
      <c r="F54" s="366">
        <f t="shared" si="10"/>
        <v>2180100</v>
      </c>
      <c r="G54" s="366">
        <f t="shared" si="10"/>
        <v>205000</v>
      </c>
      <c r="H54" s="367">
        <f t="shared" si="10"/>
        <v>0.99999999999999978</v>
      </c>
      <c r="I54" s="367"/>
      <c r="J54" s="367"/>
      <c r="K54" s="367"/>
      <c r="L54" s="368"/>
    </row>
    <row r="55" spans="1:52" x14ac:dyDescent="0.3">
      <c r="D55" s="204"/>
      <c r="G55" s="189"/>
      <c r="Q55" s="188"/>
      <c r="AA55" s="188"/>
      <c r="AG55" s="186"/>
      <c r="AH55" s="186"/>
      <c r="AI55" s="186"/>
      <c r="AJ55" s="186"/>
      <c r="AK55" s="189"/>
      <c r="AU55" s="188"/>
    </row>
    <row r="56" spans="1:52" x14ac:dyDescent="0.3">
      <c r="D56" s="204"/>
      <c r="G56" s="175"/>
      <c r="Q56" s="188"/>
      <c r="AA56" s="188"/>
      <c r="AK56" s="188"/>
      <c r="AU56" s="188"/>
    </row>
    <row r="57" spans="1:52" x14ac:dyDescent="0.3">
      <c r="C57" s="190"/>
      <c r="L57" s="187"/>
      <c r="V57" s="187"/>
      <c r="AF57" s="187"/>
      <c r="AP57" s="187"/>
      <c r="AZ57" s="187"/>
    </row>
    <row r="58" spans="1:52" x14ac:dyDescent="0.3">
      <c r="C58" s="190"/>
      <c r="L58" s="187"/>
      <c r="V58" s="187"/>
      <c r="AF58" s="187"/>
      <c r="AP58" s="187"/>
      <c r="AZ58" s="187"/>
    </row>
    <row r="59" spans="1:52" x14ac:dyDescent="0.3">
      <c r="B59" s="187"/>
      <c r="L59" s="175"/>
      <c r="V59" s="175"/>
      <c r="AF59" s="175"/>
      <c r="AP59" s="175"/>
      <c r="AZ59" s="175"/>
    </row>
    <row r="61" spans="1:52" x14ac:dyDescent="0.3">
      <c r="B61"/>
      <c r="C61"/>
      <c r="D61"/>
      <c r="E61"/>
    </row>
    <row r="62" spans="1:52" x14ac:dyDescent="0.3">
      <c r="B62"/>
      <c r="C62"/>
      <c r="D62"/>
      <c r="E62"/>
    </row>
    <row r="63" spans="1:52" x14ac:dyDescent="0.3">
      <c r="B63"/>
      <c r="C63"/>
      <c r="D63"/>
      <c r="E63"/>
    </row>
    <row r="64" spans="1:52" x14ac:dyDescent="0.3">
      <c r="B64"/>
      <c r="C64"/>
      <c r="D64"/>
      <c r="E64"/>
    </row>
    <row r="65" spans="2:6" x14ac:dyDescent="0.3">
      <c r="B65"/>
      <c r="C65"/>
      <c r="D65"/>
      <c r="E65"/>
      <c r="F65" s="175"/>
    </row>
    <row r="66" spans="2:6" x14ac:dyDescent="0.3">
      <c r="B66"/>
      <c r="C66"/>
      <c r="D66"/>
      <c r="E66"/>
    </row>
    <row r="67" spans="2:6" x14ac:dyDescent="0.3">
      <c r="B67"/>
      <c r="C67"/>
      <c r="D67"/>
      <c r="E67"/>
    </row>
    <row r="68" spans="2:6" x14ac:dyDescent="0.3">
      <c r="B68"/>
      <c r="C68"/>
      <c r="D68"/>
      <c r="E68"/>
    </row>
    <row r="69" spans="2:6" x14ac:dyDescent="0.3">
      <c r="B69"/>
      <c r="C69"/>
      <c r="D69"/>
      <c r="E69"/>
    </row>
    <row r="70" spans="2:6" x14ac:dyDescent="0.3">
      <c r="B70"/>
      <c r="C70"/>
      <c r="D70"/>
      <c r="E70"/>
    </row>
    <row r="71" spans="2:6" x14ac:dyDescent="0.3">
      <c r="B71"/>
      <c r="C71"/>
      <c r="D71"/>
      <c r="E71"/>
    </row>
    <row r="72" spans="2:6" x14ac:dyDescent="0.3">
      <c r="B72"/>
      <c r="C72"/>
      <c r="D72"/>
      <c r="E72"/>
    </row>
    <row r="73" spans="2:6" x14ac:dyDescent="0.3">
      <c r="B73"/>
      <c r="C73"/>
      <c r="D73"/>
      <c r="E73"/>
    </row>
    <row r="74" spans="2:6" x14ac:dyDescent="0.3">
      <c r="B74"/>
      <c r="C74"/>
      <c r="D74"/>
      <c r="E74"/>
    </row>
    <row r="75" spans="2:6" x14ac:dyDescent="0.3">
      <c r="B75"/>
      <c r="C75"/>
      <c r="D75"/>
      <c r="E75"/>
    </row>
    <row r="76" spans="2:6" x14ac:dyDescent="0.3">
      <c r="B76"/>
      <c r="C76"/>
      <c r="D76"/>
      <c r="E76"/>
    </row>
    <row r="77" spans="2:6" x14ac:dyDescent="0.3">
      <c r="B77"/>
      <c r="C77"/>
      <c r="D77"/>
      <c r="E77"/>
    </row>
    <row r="78" spans="2:6" x14ac:dyDescent="0.3">
      <c r="B78"/>
      <c r="C78"/>
      <c r="D78"/>
      <c r="E78"/>
    </row>
    <row r="79" spans="2:6" x14ac:dyDescent="0.3">
      <c r="B79"/>
      <c r="C79"/>
      <c r="D79"/>
      <c r="E79"/>
    </row>
    <row r="80" spans="2:6" x14ac:dyDescent="0.3">
      <c r="B80"/>
      <c r="C80"/>
      <c r="D80"/>
      <c r="E80"/>
    </row>
    <row r="81" spans="2:5" x14ac:dyDescent="0.3">
      <c r="B81"/>
      <c r="C81"/>
      <c r="D81"/>
      <c r="E81"/>
    </row>
    <row r="82" spans="2:5" x14ac:dyDescent="0.3">
      <c r="B82"/>
      <c r="C82"/>
      <c r="D82"/>
      <c r="E82"/>
    </row>
    <row r="83" spans="2:5" x14ac:dyDescent="0.3">
      <c r="B83"/>
      <c r="C83"/>
      <c r="D83"/>
      <c r="E83"/>
    </row>
    <row r="84" spans="2:5" x14ac:dyDescent="0.3">
      <c r="B84"/>
      <c r="C84"/>
      <c r="D84"/>
      <c r="E84"/>
    </row>
    <row r="85" spans="2:5" x14ac:dyDescent="0.3">
      <c r="B85"/>
      <c r="C85"/>
      <c r="D85"/>
      <c r="E85"/>
    </row>
    <row r="86" spans="2:5" x14ac:dyDescent="0.3">
      <c r="B86"/>
      <c r="C86"/>
      <c r="D86"/>
      <c r="E86"/>
    </row>
    <row r="87" spans="2:5" x14ac:dyDescent="0.3">
      <c r="B87"/>
      <c r="C87"/>
      <c r="D87"/>
      <c r="E87"/>
    </row>
    <row r="88" spans="2:5" x14ac:dyDescent="0.3">
      <c r="B88"/>
      <c r="C88"/>
      <c r="D88"/>
      <c r="E88"/>
    </row>
    <row r="89" spans="2:5" x14ac:dyDescent="0.3">
      <c r="B89"/>
      <c r="C89"/>
      <c r="D89"/>
      <c r="E89"/>
    </row>
    <row r="90" spans="2:5" x14ac:dyDescent="0.3">
      <c r="B90"/>
      <c r="C90"/>
      <c r="D90"/>
      <c r="E90"/>
    </row>
    <row r="91" spans="2:5" x14ac:dyDescent="0.3">
      <c r="B91"/>
      <c r="C91"/>
      <c r="D91"/>
      <c r="E91"/>
    </row>
    <row r="92" spans="2:5" x14ac:dyDescent="0.3">
      <c r="B92"/>
      <c r="C92"/>
      <c r="D92"/>
      <c r="E92"/>
    </row>
    <row r="93" spans="2:5" x14ac:dyDescent="0.3">
      <c r="B93"/>
      <c r="C93"/>
      <c r="D93"/>
      <c r="E93"/>
    </row>
    <row r="94" spans="2:5" x14ac:dyDescent="0.3">
      <c r="B94"/>
      <c r="C94"/>
      <c r="D94"/>
      <c r="E94"/>
    </row>
    <row r="95" spans="2:5" x14ac:dyDescent="0.3">
      <c r="B95"/>
      <c r="C95"/>
      <c r="D95"/>
      <c r="E95"/>
    </row>
    <row r="96" spans="2:5" x14ac:dyDescent="0.3">
      <c r="B96"/>
      <c r="C96"/>
      <c r="D96"/>
      <c r="E96"/>
    </row>
    <row r="97" spans="2:5" x14ac:dyDescent="0.3">
      <c r="B97"/>
      <c r="C97"/>
      <c r="D97"/>
      <c r="E97"/>
    </row>
    <row r="98" spans="2:5" x14ac:dyDescent="0.3">
      <c r="B98"/>
      <c r="C98"/>
      <c r="D98"/>
      <c r="E98"/>
    </row>
    <row r="99" spans="2:5" x14ac:dyDescent="0.3">
      <c r="B99"/>
      <c r="C99"/>
      <c r="D99"/>
      <c r="E99"/>
    </row>
    <row r="100" spans="2:5" x14ac:dyDescent="0.3">
      <c r="B100"/>
      <c r="C100"/>
      <c r="D100"/>
      <c r="E100"/>
    </row>
    <row r="101" spans="2:5" x14ac:dyDescent="0.3">
      <c r="B101"/>
      <c r="C101"/>
      <c r="D101"/>
      <c r="E101"/>
    </row>
    <row r="102" spans="2:5" x14ac:dyDescent="0.3">
      <c r="B102"/>
      <c r="C102"/>
      <c r="D102"/>
      <c r="E102"/>
    </row>
    <row r="103" spans="2:5" x14ac:dyDescent="0.3">
      <c r="B103"/>
      <c r="C103"/>
      <c r="D103"/>
      <c r="E103"/>
    </row>
    <row r="104" spans="2:5" x14ac:dyDescent="0.3">
      <c r="B104"/>
      <c r="C104"/>
      <c r="D104"/>
      <c r="E104"/>
    </row>
    <row r="105" spans="2:5" x14ac:dyDescent="0.3">
      <c r="B105"/>
      <c r="C105"/>
      <c r="D105"/>
      <c r="E105"/>
    </row>
    <row r="106" spans="2:5" x14ac:dyDescent="0.3">
      <c r="B106"/>
      <c r="C106"/>
      <c r="D106"/>
      <c r="E106"/>
    </row>
    <row r="107" spans="2:5" x14ac:dyDescent="0.3">
      <c r="B107"/>
      <c r="C107"/>
      <c r="D107"/>
      <c r="E107"/>
    </row>
    <row r="108" spans="2:5" x14ac:dyDescent="0.3">
      <c r="B108"/>
      <c r="C108"/>
      <c r="D108"/>
      <c r="E108"/>
    </row>
    <row r="109" spans="2:5" x14ac:dyDescent="0.3">
      <c r="B109"/>
      <c r="C109"/>
      <c r="D109"/>
      <c r="E109"/>
    </row>
    <row r="110" spans="2:5" x14ac:dyDescent="0.3">
      <c r="B110"/>
      <c r="C110"/>
      <c r="D110"/>
      <c r="E110"/>
    </row>
    <row r="111" spans="2:5" x14ac:dyDescent="0.3">
      <c r="B111"/>
      <c r="C111"/>
      <c r="D111"/>
      <c r="E111"/>
    </row>
    <row r="112" spans="2:5" x14ac:dyDescent="0.3">
      <c r="B112"/>
      <c r="C112"/>
      <c r="D112"/>
      <c r="E112"/>
    </row>
    <row r="113" spans="2:5" x14ac:dyDescent="0.3">
      <c r="B113"/>
      <c r="C113"/>
      <c r="D113"/>
      <c r="E113"/>
    </row>
  </sheetData>
  <autoFilter ref="B6:AZ6" xr:uid="{DFA20F45-5F8A-4C34-85C8-333A4E83DBF0}"/>
  <mergeCells count="5">
    <mergeCell ref="C5:K5"/>
    <mergeCell ref="M5:U5"/>
    <mergeCell ref="W5:AE5"/>
    <mergeCell ref="AG5:AO5"/>
    <mergeCell ref="AQ5:AY5"/>
  </mergeCells>
  <conditionalFormatting sqref="G6">
    <cfRule type="expression" dxfId="8" priority="1">
      <formula>$G$57&lt;0</formula>
    </cfRule>
    <cfRule type="expression" dxfId="7" priority="2">
      <formula>$G$57&gt;0</formula>
    </cfRule>
  </conditionalFormatting>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cellIs" priority="3" operator="lessThan" id="{04920590-ADDB-4436-B376-2D65397E501B}">
            <xm:f>'Funding Shares'!$D$6</xm:f>
            <x14:dxf>
              <font>
                <color rgb="FF9C5700"/>
              </font>
              <fill>
                <patternFill>
                  <bgColor rgb="FFFFEB9C"/>
                </patternFill>
              </fill>
            </x14:dxf>
          </x14:cfRule>
          <x14:cfRule type="cellIs" priority="4" operator="greaterThan" id="{308AB99F-8F7B-422C-A787-036970062C7A}">
            <xm:f>'Funding Shares'!$D$6</xm:f>
            <x14:dxf>
              <font>
                <color rgb="FF9C0006"/>
              </font>
              <fill>
                <patternFill>
                  <bgColor rgb="FFFFC7CE"/>
                </patternFill>
              </fill>
            </x14:dxf>
          </x14:cfRule>
          <x14:cfRule type="cellIs" priority="9" operator="equal" id="{DB786F9E-332C-4E8A-AE92-6B5A041EC54F}">
            <xm:f>'Funding Shares'!$D$6</xm:f>
            <x14:dxf>
              <font>
                <color rgb="FF006100"/>
              </font>
              <fill>
                <patternFill>
                  <bgColor rgb="FFC6EFCE"/>
                </patternFill>
              </fill>
            </x14:dxf>
          </x14:cfRule>
          <xm:sqref>L5</xm:sqref>
        </x14:conditionalFormatting>
        <x14:conditionalFormatting xmlns:xm="http://schemas.microsoft.com/office/excel/2006/main">
          <x14:cfRule type="cellIs" priority="8" operator="equal" id="{481EE92C-D67F-4B7A-8D0A-0A13EF7CE227}">
            <xm:f>'Business Plan (2025-2029)'!$M$17</xm:f>
            <x14:dxf>
              <font>
                <color rgb="FF006100"/>
              </font>
              <fill>
                <patternFill>
                  <bgColor rgb="FFC6EFCE"/>
                </patternFill>
              </fill>
            </x14:dxf>
          </x14:cfRule>
          <xm:sqref>V5</xm:sqref>
        </x14:conditionalFormatting>
        <x14:conditionalFormatting xmlns:xm="http://schemas.microsoft.com/office/excel/2006/main">
          <x14:cfRule type="cellIs" priority="7" operator="equal" id="{FC53286C-43EB-44F6-A9B7-E2723A9936CC}">
            <xm:f>'Business Plan (2025-2029)'!$T$17</xm:f>
            <x14:dxf>
              <font>
                <color rgb="FF006100"/>
              </font>
              <fill>
                <patternFill>
                  <bgColor rgb="FFC6EFCE"/>
                </patternFill>
              </fill>
            </x14:dxf>
          </x14:cfRule>
          <xm:sqref>AF5</xm:sqref>
        </x14:conditionalFormatting>
        <x14:conditionalFormatting xmlns:xm="http://schemas.microsoft.com/office/excel/2006/main">
          <x14:cfRule type="cellIs" priority="6" operator="equal" id="{A2AD4647-2A5E-483C-B735-244127EF2D3F}">
            <xm:f>'Business Plan (2025-2029)'!$AA$17</xm:f>
            <x14:dxf>
              <font>
                <color rgb="FF006100"/>
              </font>
              <fill>
                <patternFill>
                  <bgColor rgb="FFC6EFCE"/>
                </patternFill>
              </fill>
            </x14:dxf>
          </x14:cfRule>
          <xm:sqref>AP5</xm:sqref>
        </x14:conditionalFormatting>
        <x14:conditionalFormatting xmlns:xm="http://schemas.microsoft.com/office/excel/2006/main">
          <x14:cfRule type="cellIs" priority="5" operator="equal" id="{FFAC17D5-B090-4E7F-A3DD-99BEF55294CC}">
            <xm:f>'Business Plan (2025-2029)'!$AH$17</xm:f>
            <x14:dxf>
              <font>
                <color rgb="FF006100"/>
              </font>
              <fill>
                <patternFill>
                  <bgColor rgb="FFC6EFCE"/>
                </patternFill>
              </fill>
            </x14:dxf>
          </x14:cfRule>
          <xm:sqref>AZ5</xm:sqref>
        </x14:conditionalFormatting>
      </x14:conditionalFormatting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88CA72-931D-4955-AE9B-484EF13F8618}">
  <sheetPr codeName="Sheet9"/>
  <dimension ref="A1:J28"/>
  <sheetViews>
    <sheetView workbookViewId="0">
      <selection activeCell="D2" sqref="D2"/>
    </sheetView>
  </sheetViews>
  <sheetFormatPr defaultRowHeight="13.2" x14ac:dyDescent="0.25"/>
  <cols>
    <col min="2" max="2" width="44.5546875" bestFit="1" customWidth="1"/>
    <col min="3" max="3" width="46.44140625" bestFit="1" customWidth="1"/>
    <col min="4" max="4" width="20.5546875" bestFit="1" customWidth="1"/>
    <col min="5" max="5" width="21.88671875" customWidth="1"/>
    <col min="6" max="6" width="14.109375" customWidth="1"/>
    <col min="7" max="7" width="13.44140625" bestFit="1" customWidth="1"/>
    <col min="8" max="9" width="12.33203125" bestFit="1" customWidth="1"/>
    <col min="10" max="10" width="9.6640625" bestFit="1" customWidth="1"/>
  </cols>
  <sheetData>
    <row r="1" spans="1:7" s="132" customFormat="1" ht="18" x14ac:dyDescent="0.35">
      <c r="B1" s="1" t="s">
        <v>489</v>
      </c>
      <c r="D1" s="130" t="s">
        <v>92</v>
      </c>
      <c r="G1"/>
    </row>
    <row r="2" spans="1:7" s="132" customFormat="1" ht="15.6" x14ac:dyDescent="0.3">
      <c r="A2" s="3"/>
      <c r="B2" s="194" t="str">
        <f>'Table of Contents'!B2</f>
        <v>Final 2026 RTF Work Plan - October 7, 2025</v>
      </c>
      <c r="D2" s="131">
        <f>210900+(210900*0.035)</f>
        <v>218281.5</v>
      </c>
      <c r="E2" s="191"/>
      <c r="G2"/>
    </row>
    <row r="3" spans="1:7" s="132" customFormat="1" ht="15.6" x14ac:dyDescent="0.3">
      <c r="A3" s="2"/>
      <c r="G3"/>
    </row>
    <row r="4" spans="1:7" s="132" customFormat="1" ht="15.6" x14ac:dyDescent="0.3">
      <c r="B4" s="133" t="s">
        <v>432</v>
      </c>
      <c r="E4" s="134">
        <f>F21</f>
        <v>1</v>
      </c>
      <c r="F4" s="135" t="s">
        <v>93</v>
      </c>
      <c r="G4"/>
    </row>
    <row r="5" spans="1:7" s="132" customFormat="1" ht="15.6" x14ac:dyDescent="0.3">
      <c r="G5"/>
    </row>
    <row r="6" spans="1:7" s="132" customFormat="1" ht="64.5" customHeight="1" x14ac:dyDescent="0.3">
      <c r="B6" s="136" t="s">
        <v>94</v>
      </c>
      <c r="C6" s="136" t="s">
        <v>95</v>
      </c>
      <c r="D6" s="136" t="s">
        <v>96</v>
      </c>
      <c r="E6" s="136" t="s">
        <v>97</v>
      </c>
      <c r="F6" s="136" t="s">
        <v>98</v>
      </c>
      <c r="G6"/>
    </row>
    <row r="7" spans="1:7" s="132" customFormat="1" ht="15.6" x14ac:dyDescent="0.3">
      <c r="B7" s="137" t="s">
        <v>99</v>
      </c>
      <c r="C7" s="137" t="s">
        <v>100</v>
      </c>
      <c r="D7" s="138">
        <v>0.02</v>
      </c>
      <c r="E7" s="138">
        <v>0.01</v>
      </c>
      <c r="F7" s="138">
        <f t="shared" ref="F7:F8" si="0">SUM(D7:E7)</f>
        <v>0.03</v>
      </c>
      <c r="G7"/>
    </row>
    <row r="8" spans="1:7" s="132" customFormat="1" ht="15.6" x14ac:dyDescent="0.3">
      <c r="B8" s="137" t="s">
        <v>101</v>
      </c>
      <c r="C8" s="137" t="s">
        <v>102</v>
      </c>
      <c r="D8" s="138">
        <v>0.1</v>
      </c>
      <c r="E8" s="138">
        <v>0.05</v>
      </c>
      <c r="F8" s="138">
        <f t="shared" si="0"/>
        <v>0.15000000000000002</v>
      </c>
      <c r="G8"/>
    </row>
    <row r="9" spans="1:7" s="132" customFormat="1" ht="15.6" x14ac:dyDescent="0.3">
      <c r="B9" s="137" t="s">
        <v>103</v>
      </c>
      <c r="C9" s="137" t="s">
        <v>104</v>
      </c>
      <c r="D9" s="139">
        <v>0.1</v>
      </c>
      <c r="E9" s="138">
        <v>0.08</v>
      </c>
      <c r="F9" s="140">
        <f>SUM(D9:E9)</f>
        <v>0.18</v>
      </c>
      <c r="G9"/>
    </row>
    <row r="10" spans="1:7" s="132" customFormat="1" ht="15.6" x14ac:dyDescent="0.3">
      <c r="B10" s="137" t="s">
        <v>106</v>
      </c>
      <c r="C10" s="137" t="s">
        <v>107</v>
      </c>
      <c r="D10" s="139">
        <v>0.2</v>
      </c>
      <c r="E10" s="138">
        <v>0</v>
      </c>
      <c r="F10" s="140">
        <f t="shared" ref="F10:F15" si="1">SUM(D10:E10)</f>
        <v>0.2</v>
      </c>
      <c r="G10"/>
    </row>
    <row r="11" spans="1:7" s="132" customFormat="1" ht="15.6" x14ac:dyDescent="0.3">
      <c r="B11" s="137" t="s">
        <v>108</v>
      </c>
      <c r="C11" s="137" t="s">
        <v>109</v>
      </c>
      <c r="D11" s="139">
        <v>0.1</v>
      </c>
      <c r="E11" s="138">
        <v>0</v>
      </c>
      <c r="F11" s="140">
        <f t="shared" si="1"/>
        <v>0.1</v>
      </c>
      <c r="G11"/>
    </row>
    <row r="12" spans="1:7" s="132" customFormat="1" ht="15.6" x14ac:dyDescent="0.3">
      <c r="B12" s="137" t="s">
        <v>110</v>
      </c>
      <c r="C12" s="137" t="s">
        <v>111</v>
      </c>
      <c r="D12" s="138">
        <v>0.1</v>
      </c>
      <c r="E12" s="138">
        <v>0</v>
      </c>
      <c r="F12" s="138">
        <f t="shared" si="1"/>
        <v>0.1</v>
      </c>
      <c r="G12"/>
    </row>
    <row r="13" spans="1:7" s="132" customFormat="1" ht="15.6" x14ac:dyDescent="0.3">
      <c r="B13" s="137" t="s">
        <v>112</v>
      </c>
      <c r="C13" s="137" t="s">
        <v>113</v>
      </c>
      <c r="D13" s="138">
        <v>0.1</v>
      </c>
      <c r="E13" s="138">
        <v>0</v>
      </c>
      <c r="F13" s="141">
        <f t="shared" si="1"/>
        <v>0.1</v>
      </c>
      <c r="G13"/>
    </row>
    <row r="14" spans="1:7" s="132" customFormat="1" ht="15.6" x14ac:dyDescent="0.3">
      <c r="B14" s="137" t="s">
        <v>114</v>
      </c>
      <c r="C14" s="137" t="s">
        <v>113</v>
      </c>
      <c r="D14" s="138">
        <v>0.01</v>
      </c>
      <c r="E14" s="138">
        <v>0</v>
      </c>
      <c r="F14" s="141">
        <f t="shared" si="1"/>
        <v>0.01</v>
      </c>
      <c r="G14"/>
    </row>
    <row r="15" spans="1:7" s="132" customFormat="1" ht="15.6" x14ac:dyDescent="0.3">
      <c r="B15" s="137" t="s">
        <v>115</v>
      </c>
      <c r="C15" s="137" t="s">
        <v>116</v>
      </c>
      <c r="D15" s="138">
        <v>0.05</v>
      </c>
      <c r="E15" s="138">
        <v>0</v>
      </c>
      <c r="F15" s="141">
        <f t="shared" si="1"/>
        <v>0.05</v>
      </c>
      <c r="G15"/>
    </row>
    <row r="16" spans="1:7" s="132" customFormat="1" ht="15.6" x14ac:dyDescent="0.3">
      <c r="B16" s="142" t="s">
        <v>117</v>
      </c>
      <c r="C16" s="142" t="s">
        <v>118</v>
      </c>
      <c r="D16" s="143">
        <v>0.9</v>
      </c>
      <c r="E16" s="143">
        <v>0.1</v>
      </c>
      <c r="F16" s="143">
        <f>SUM(D16:E16)</f>
        <v>1</v>
      </c>
      <c r="G16"/>
    </row>
    <row r="17" spans="3:10" s="132" customFormat="1" ht="15.6" x14ac:dyDescent="0.3">
      <c r="C17" s="144" t="s">
        <v>93</v>
      </c>
      <c r="D17" s="145">
        <f>SUM(D7:D16)</f>
        <v>1.6800000000000002</v>
      </c>
      <c r="E17" s="145">
        <f>SUM(E7:E16)</f>
        <v>0.24000000000000002</v>
      </c>
      <c r="F17" s="145">
        <f>SUM(F7:F16)</f>
        <v>1.92</v>
      </c>
      <c r="G17"/>
    </row>
    <row r="18" spans="3:10" s="132" customFormat="1" ht="15.6" x14ac:dyDescent="0.3">
      <c r="D18" s="146"/>
      <c r="E18" s="146"/>
      <c r="F18" s="131">
        <f>ROUND(((F17-1)*D2),-2)</f>
        <v>200800</v>
      </c>
      <c r="G18" s="432"/>
      <c r="H18" s="432"/>
      <c r="I18" s="432"/>
      <c r="J18" s="432"/>
    </row>
    <row r="19" spans="3:10" s="132" customFormat="1" ht="15" customHeight="1" x14ac:dyDescent="0.3">
      <c r="G19"/>
    </row>
    <row r="20" spans="3:10" s="132" customFormat="1" ht="15" customHeight="1" x14ac:dyDescent="0.3">
      <c r="C20" s="133" t="s">
        <v>119</v>
      </c>
      <c r="G20"/>
    </row>
    <row r="21" spans="3:10" s="132" customFormat="1" ht="15" customHeight="1" x14ac:dyDescent="0.3">
      <c r="C21" s="147" t="s">
        <v>93</v>
      </c>
      <c r="D21" s="145">
        <f>SUM(D16)</f>
        <v>0.9</v>
      </c>
      <c r="E21" s="145">
        <f>SUM(E16)</f>
        <v>0.1</v>
      </c>
      <c r="F21" s="145">
        <v>1</v>
      </c>
      <c r="G21"/>
    </row>
    <row r="22" spans="3:10" s="132" customFormat="1" ht="15.6" x14ac:dyDescent="0.3">
      <c r="D22" s="146"/>
      <c r="E22" s="146"/>
      <c r="F22" s="131">
        <v>167000</v>
      </c>
      <c r="G22" s="192"/>
    </row>
    <row r="27" spans="3:10" x14ac:dyDescent="0.25">
      <c r="D27" s="293"/>
      <c r="E27" s="293">
        <v>2025</v>
      </c>
      <c r="F27" s="293">
        <v>2026</v>
      </c>
      <c r="G27" s="293">
        <v>2027</v>
      </c>
      <c r="H27" s="293">
        <v>2028</v>
      </c>
      <c r="I27" s="293">
        <v>2029</v>
      </c>
    </row>
    <row r="28" spans="3:10" ht="26.4" x14ac:dyDescent="0.25">
      <c r="D28" s="294" t="s">
        <v>435</v>
      </c>
      <c r="E28" s="295">
        <v>158000</v>
      </c>
      <c r="F28" s="295">
        <v>163500</v>
      </c>
      <c r="G28" s="295">
        <v>169200</v>
      </c>
      <c r="H28" s="295">
        <v>175100</v>
      </c>
      <c r="I28" s="295">
        <v>181200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Table of Contents</vt:lpstr>
      <vt:lpstr>Category History</vt:lpstr>
      <vt:lpstr>Business Plan (2025-2029)</vt:lpstr>
      <vt:lpstr>Category Detail for 2026</vt:lpstr>
      <vt:lpstr>Funding Shares</vt:lpstr>
      <vt:lpstr>Carry Over</vt:lpstr>
      <vt:lpstr>Funding Splits</vt:lpstr>
      <vt:lpstr>Work Plan Based BP</vt:lpstr>
      <vt:lpstr>NWPCC In Kind</vt:lpstr>
      <vt:lpstr>Measure and Costs Assumptions</vt:lpstr>
      <vt:lpstr>Typical Rates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Thomas</dc:creator>
  <cp:lastModifiedBy>Chad Madron</cp:lastModifiedBy>
  <dcterms:created xsi:type="dcterms:W3CDTF">2024-07-10T21:01:22Z</dcterms:created>
  <dcterms:modified xsi:type="dcterms:W3CDTF">2025-10-31T23:18:16Z</dcterms:modified>
</cp:coreProperties>
</file>